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8"/>
  <workbookPr defaultThemeVersion="166925"/>
  <mc:AlternateContent xmlns:mc="http://schemas.openxmlformats.org/markup-compatibility/2006">
    <mc:Choice Requires="x15">
      <x15ac:absPath xmlns:x15ac="http://schemas.microsoft.com/office/spreadsheetml/2010/11/ac" url="/Users/tphendrickson/Documents/Plastics Data/Manuscript Revisions/Final Comments 1-24-24/"/>
    </mc:Choice>
  </mc:AlternateContent>
  <xr:revisionPtr revIDLastSave="0" documentId="13_ncr:1_{4DD8CBAE-6708-C14E-AAED-5FCFC0E1BEC6}" xr6:coauthVersionLast="47" xr6:coauthVersionMax="47" xr10:uidLastSave="{00000000-0000-0000-0000-000000000000}"/>
  <bookViews>
    <workbookView xWindow="0" yWindow="500" windowWidth="28800" windowHeight="17500" xr2:uid="{5E384ECE-4111-1C46-AD73-C06D27F9470D}"/>
  </bookViews>
  <sheets>
    <sheet name="PlasticsDataCompilation" sheetId="3" r:id="rId1"/>
    <sheet name="Imports - Raw" sheetId="16" r:id="rId2"/>
    <sheet name="Imports - Products" sheetId="17" r:id="rId3"/>
    <sheet name="Import Summary" sheetId="18" r:id="rId4"/>
    <sheet name="PlasticsUse" sheetId="6" r:id="rId5"/>
    <sheet name="In-Use Stocks" sheetId="5" r:id="rId6"/>
    <sheet name="EndOfLife" sheetId="8" r:id="rId7"/>
    <sheet name="Bandwidth" sheetId="12" r:id="rId8"/>
    <sheet name="CompilationCalcs - Di et al.EOL" sheetId="11" r:id="rId9"/>
    <sheet name="CompilationCalcs - Bandwidth" sheetId="15" state="hidden" r:id="rId10"/>
    <sheet name="dataforsankey" sheetId="2" r:id="rId11"/>
    <sheet name="Paper Tables" sheetId="13" r:id="rId12"/>
    <sheet name="Paper Tables pt. 2" sheetId="19" r:id="rId13"/>
    <sheet name="Conversions" sheetId="7" r:id="rId14"/>
    <sheet name="Di et al. SD" sheetId="10" r:id="rId15"/>
    <sheet name="Rec. Max" sheetId="14" r:id="rId16"/>
    <sheet name="CompilationCalcs - EPA EOL" sheetId="9" r:id="rId17"/>
  </sheets>
  <definedNames>
    <definedName name="_xlnm._FilterDatabase" localSheetId="8" hidden="1">'CompilationCalcs - Di et al.EOL'!$A$3:$L$544</definedName>
    <definedName name="_xlnm._FilterDatabase" localSheetId="10" hidden="1">dataforsankey!$AE$22:$AH$22</definedName>
    <definedName name="_xlnm._FilterDatabase" localSheetId="14" hidden="1">'Di et al. SD'!$A$4:$E$395</definedName>
    <definedName name="_xlnm._FilterDatabase" localSheetId="6" hidden="1">'CompilationCalcs - EPA EOL'!$A$3:$G$242</definedName>
    <definedName name="_xlnm._FilterDatabase" localSheetId="12" hidden="1">'Paper Tables pt. 2'!$A$4:$I$21</definedName>
    <definedName name="inflation_rate">Conversions!$B$21</definedName>
    <definedName name="kg_to_MT">Conversions!$B$4</definedName>
    <definedName name="lb_to_kg">Conversions!$B$3</definedName>
    <definedName name="short_ton_to_MT">Conversions!$B$5</definedName>
  </definedNames>
  <calcPr calcId="191029" calcMode="manual" iterate="1" iterateDelta="1.0000000000000001E-5"/>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B28" i="18" l="1"/>
  <c r="D75" i="19"/>
  <c r="G97" i="19"/>
  <c r="H97" i="19"/>
  <c r="F97" i="19"/>
  <c r="A99" i="19"/>
  <c r="A100" i="19"/>
  <c r="A101" i="19"/>
  <c r="A102" i="19"/>
  <c r="A103" i="19"/>
  <c r="A104" i="19"/>
  <c r="A105" i="19"/>
  <c r="A106" i="19"/>
  <c r="A107" i="19"/>
  <c r="A108" i="19"/>
  <c r="A109" i="19"/>
  <c r="A110" i="19"/>
  <c r="A111" i="19"/>
  <c r="A112" i="19"/>
  <c r="A113" i="19"/>
  <c r="A114" i="19"/>
  <c r="A115" i="19"/>
  <c r="A98" i="19"/>
  <c r="AF731" i="2"/>
  <c r="AF730" i="2"/>
  <c r="AF729" i="2"/>
  <c r="AF728" i="2"/>
  <c r="AF727" i="2"/>
  <c r="AF726" i="2"/>
  <c r="AF725" i="2"/>
  <c r="AF724" i="2"/>
  <c r="AF723" i="2"/>
  <c r="AF722" i="2"/>
  <c r="AF721" i="2"/>
  <c r="AF720" i="2"/>
  <c r="AF719" i="2"/>
  <c r="AF718" i="2"/>
  <c r="AF717" i="2"/>
  <c r="AF716" i="2"/>
  <c r="AF715" i="2"/>
  <c r="AF714" i="2"/>
  <c r="AF713" i="2"/>
  <c r="AF712" i="2"/>
  <c r="Z731" i="2"/>
  <c r="Z730" i="2"/>
  <c r="Z729" i="2"/>
  <c r="Z728" i="2"/>
  <c r="Z727" i="2"/>
  <c r="Z726" i="2"/>
  <c r="Z725" i="2"/>
  <c r="Z724" i="2"/>
  <c r="Z723" i="2"/>
  <c r="Z722" i="2"/>
  <c r="Z721" i="2"/>
  <c r="Z720" i="2"/>
  <c r="Z719" i="2"/>
  <c r="Z718" i="2"/>
  <c r="Z717" i="2"/>
  <c r="Z716" i="2"/>
  <c r="Z715" i="2"/>
  <c r="Z714" i="2"/>
  <c r="Z713" i="2"/>
  <c r="Z712" i="2"/>
  <c r="L102" i="5"/>
  <c r="L103" i="5"/>
  <c r="L104" i="5"/>
  <c r="L105" i="5"/>
  <c r="L106" i="5"/>
  <c r="L107" i="5"/>
  <c r="L108" i="5"/>
  <c r="L109" i="5"/>
  <c r="L110" i="5"/>
  <c r="L111" i="5"/>
  <c r="L112" i="5"/>
  <c r="L113" i="5"/>
  <c r="L114" i="5"/>
  <c r="L115" i="5"/>
  <c r="L116" i="5"/>
  <c r="M101" i="5"/>
  <c r="N101" i="5"/>
  <c r="O101" i="5"/>
  <c r="P101" i="5"/>
  <c r="Q101" i="5"/>
  <c r="R101" i="5"/>
  <c r="S101" i="5"/>
  <c r="T101" i="5"/>
  <c r="U101" i="5"/>
  <c r="V101" i="5"/>
  <c r="L101" i="5"/>
  <c r="F107" i="11"/>
  <c r="F108" i="11"/>
  <c r="F109" i="11"/>
  <c r="F110" i="11"/>
  <c r="F111" i="11"/>
  <c r="F112" i="11"/>
  <c r="F113" i="11"/>
  <c r="F114" i="11"/>
  <c r="F115" i="11"/>
  <c r="F106" i="11"/>
  <c r="F96" i="11"/>
  <c r="D67" i="8"/>
  <c r="D66" i="8"/>
  <c r="C210" i="12" l="1"/>
  <c r="E210" i="12"/>
  <c r="J210" i="12"/>
  <c r="B210" i="12"/>
  <c r="F190" i="12"/>
  <c r="G190" i="12"/>
  <c r="H190" i="12"/>
  <c r="I190" i="12"/>
  <c r="K190" i="12"/>
  <c r="L190" i="12"/>
  <c r="M190" i="12"/>
  <c r="N190" i="12"/>
  <c r="O190" i="12"/>
  <c r="P190" i="12"/>
  <c r="D190" i="12"/>
  <c r="K169" i="12"/>
  <c r="L169" i="12"/>
  <c r="M169" i="12"/>
  <c r="N169" i="12"/>
  <c r="O169" i="12"/>
  <c r="P169" i="12"/>
  <c r="D169" i="12"/>
  <c r="E169" i="12"/>
  <c r="F169" i="12"/>
  <c r="G169" i="12"/>
  <c r="H169" i="12"/>
  <c r="I169" i="12"/>
  <c r="J169" i="12"/>
  <c r="C209" i="12"/>
  <c r="D209" i="12"/>
  <c r="E209" i="12"/>
  <c r="F209" i="12"/>
  <c r="G209" i="12"/>
  <c r="H209" i="12"/>
  <c r="I209" i="12"/>
  <c r="J209" i="12"/>
  <c r="K209" i="12"/>
  <c r="L209" i="12"/>
  <c r="M209" i="12"/>
  <c r="N209" i="12"/>
  <c r="O209" i="12"/>
  <c r="P209" i="12"/>
  <c r="B209" i="12"/>
  <c r="C189" i="12"/>
  <c r="D189" i="12"/>
  <c r="E189" i="12"/>
  <c r="F189" i="12"/>
  <c r="G189" i="12"/>
  <c r="H189" i="12"/>
  <c r="I189" i="12"/>
  <c r="J189" i="12"/>
  <c r="K189" i="12"/>
  <c r="L189" i="12"/>
  <c r="M189" i="12"/>
  <c r="N189" i="12"/>
  <c r="O189" i="12"/>
  <c r="P189" i="12"/>
  <c r="B189" i="12"/>
  <c r="C168" i="12"/>
  <c r="D168" i="12"/>
  <c r="E168" i="12"/>
  <c r="F168" i="12"/>
  <c r="G168" i="12"/>
  <c r="H168" i="12"/>
  <c r="I168" i="12"/>
  <c r="J168" i="12"/>
  <c r="K168" i="12"/>
  <c r="L168" i="12"/>
  <c r="M168" i="12"/>
  <c r="N168" i="12"/>
  <c r="O168" i="12"/>
  <c r="P168" i="12"/>
  <c r="B168" i="12"/>
  <c r="O210" i="12" l="1"/>
  <c r="L210" i="12"/>
  <c r="N210" i="12"/>
  <c r="K210" i="12"/>
  <c r="M210" i="12"/>
  <c r="I210" i="12"/>
  <c r="D210" i="12"/>
  <c r="H210" i="12"/>
  <c r="F210" i="12"/>
  <c r="P210" i="12"/>
  <c r="G210" i="12"/>
  <c r="H23" i="16"/>
  <c r="B8" i="17"/>
  <c r="B32" i="3"/>
  <c r="A70" i="19"/>
  <c r="A71" i="19"/>
  <c r="A56" i="19"/>
  <c r="A93" i="19"/>
  <c r="A51" i="19"/>
  <c r="D207" i="12"/>
  <c r="E207" i="12"/>
  <c r="F207" i="12"/>
  <c r="G207" i="12"/>
  <c r="H207" i="12"/>
  <c r="I207" i="12"/>
  <c r="J207" i="12"/>
  <c r="K207" i="12"/>
  <c r="L207" i="12"/>
  <c r="M207" i="12"/>
  <c r="N207" i="12"/>
  <c r="P207" i="12"/>
  <c r="B207" i="12"/>
  <c r="D187" i="12"/>
  <c r="E187" i="12"/>
  <c r="F187" i="12"/>
  <c r="G187" i="12"/>
  <c r="H187" i="12"/>
  <c r="I187" i="12"/>
  <c r="J187" i="12"/>
  <c r="K187" i="12"/>
  <c r="L187" i="12"/>
  <c r="M187" i="12"/>
  <c r="N187" i="12"/>
  <c r="P187" i="12"/>
  <c r="B187" i="12"/>
  <c r="P166" i="12"/>
  <c r="N166" i="12"/>
  <c r="M166" i="12"/>
  <c r="L166" i="12"/>
  <c r="K166" i="12"/>
  <c r="J166" i="12"/>
  <c r="I166" i="12"/>
  <c r="H166" i="12"/>
  <c r="G166" i="12"/>
  <c r="F166" i="12"/>
  <c r="E166" i="12"/>
  <c r="D166" i="12"/>
  <c r="B166" i="12"/>
  <c r="P144" i="12"/>
  <c r="O144" i="12"/>
  <c r="N144" i="12"/>
  <c r="M144" i="12"/>
  <c r="L144" i="12"/>
  <c r="K144" i="12"/>
  <c r="J144" i="12"/>
  <c r="I144" i="12"/>
  <c r="H144" i="12"/>
  <c r="G144" i="12"/>
  <c r="F144" i="12"/>
  <c r="E144" i="12"/>
  <c r="D144" i="12"/>
  <c r="B144" i="12"/>
  <c r="C101" i="12"/>
  <c r="D101" i="12"/>
  <c r="E101" i="12"/>
  <c r="F101" i="12"/>
  <c r="G101" i="12"/>
  <c r="H101" i="12"/>
  <c r="I101" i="12"/>
  <c r="J101" i="12"/>
  <c r="K101" i="12"/>
  <c r="L101" i="12"/>
  <c r="M101" i="12"/>
  <c r="N101" i="12"/>
  <c r="O101" i="12"/>
  <c r="P101" i="12"/>
  <c r="B101" i="12"/>
  <c r="D123" i="12"/>
  <c r="E123" i="12"/>
  <c r="F123" i="12"/>
  <c r="G123" i="12"/>
  <c r="H123" i="12"/>
  <c r="I123" i="12"/>
  <c r="J123" i="12"/>
  <c r="K123" i="12"/>
  <c r="L123" i="12"/>
  <c r="M123" i="12"/>
  <c r="N123" i="12"/>
  <c r="O123" i="12"/>
  <c r="P123" i="12"/>
  <c r="B123" i="12"/>
  <c r="C183" i="12"/>
  <c r="C182" i="12"/>
  <c r="C165" i="12"/>
  <c r="C164" i="12"/>
  <c r="C122" i="12"/>
  <c r="C121" i="12"/>
  <c r="C119" i="12"/>
  <c r="C118" i="12"/>
  <c r="R96" i="12"/>
  <c r="R117" i="12"/>
  <c r="R130" i="12"/>
  <c r="R129" i="12"/>
  <c r="R128" i="12"/>
  <c r="R127" i="12"/>
  <c r="R126" i="12"/>
  <c r="R125" i="12"/>
  <c r="R124" i="12"/>
  <c r="R120" i="12"/>
  <c r="R118" i="12"/>
  <c r="R116" i="12"/>
  <c r="A49" i="6"/>
  <c r="A50" i="6"/>
  <c r="A51" i="6"/>
  <c r="A52" i="6"/>
  <c r="A53" i="6"/>
  <c r="A54" i="6"/>
  <c r="A55" i="6"/>
  <c r="A56" i="6"/>
  <c r="A57" i="6"/>
  <c r="A58" i="6"/>
  <c r="A59" i="6"/>
  <c r="A60" i="6"/>
  <c r="A61" i="6"/>
  <c r="A62" i="6"/>
  <c r="A63" i="6"/>
  <c r="A64" i="6"/>
  <c r="A48" i="6"/>
  <c r="B47" i="6"/>
  <c r="C47" i="6"/>
  <c r="D47" i="6"/>
  <c r="E47" i="6"/>
  <c r="F47" i="6"/>
  <c r="G47" i="6"/>
  <c r="H47" i="6"/>
  <c r="I47" i="6"/>
  <c r="J47" i="6"/>
  <c r="K47" i="6"/>
  <c r="L47" i="6"/>
  <c r="M47" i="6"/>
  <c r="A47" i="6"/>
  <c r="A87" i="6"/>
  <c r="A50" i="19" s="1"/>
  <c r="A72" i="6"/>
  <c r="A35" i="19" s="1"/>
  <c r="A73" i="6"/>
  <c r="A36" i="19" s="1"/>
  <c r="A74" i="6"/>
  <c r="A37" i="19" s="1"/>
  <c r="A75" i="6"/>
  <c r="A38" i="19" s="1"/>
  <c r="A76" i="6"/>
  <c r="A39" i="19" s="1"/>
  <c r="A77" i="6"/>
  <c r="A40" i="19" s="1"/>
  <c r="A78" i="6"/>
  <c r="A41" i="19" s="1"/>
  <c r="A79" i="6"/>
  <c r="A42" i="19" s="1"/>
  <c r="A80" i="6"/>
  <c r="A43" i="19" s="1"/>
  <c r="A81" i="6"/>
  <c r="A44" i="19" s="1"/>
  <c r="A82" i="6"/>
  <c r="A45" i="19" s="1"/>
  <c r="A83" i="6"/>
  <c r="A46" i="19" s="1"/>
  <c r="A84" i="6"/>
  <c r="A47" i="19" s="1"/>
  <c r="A85" i="6"/>
  <c r="A48" i="19" s="1"/>
  <c r="B48" i="19" s="1"/>
  <c r="A86" i="6"/>
  <c r="A91" i="19" s="1"/>
  <c r="A71" i="6"/>
  <c r="A34" i="19" s="1"/>
  <c r="B70" i="6"/>
  <c r="C70" i="6"/>
  <c r="D70" i="6"/>
  <c r="E70" i="6"/>
  <c r="F70" i="6"/>
  <c r="G70" i="6"/>
  <c r="H70" i="6"/>
  <c r="I70" i="6"/>
  <c r="J70" i="6"/>
  <c r="K70" i="6"/>
  <c r="L70" i="6"/>
  <c r="M70" i="6"/>
  <c r="A70" i="6"/>
  <c r="B379" i="16"/>
  <c r="B371" i="16"/>
  <c r="B22" i="7"/>
  <c r="B366" i="16" s="1"/>
  <c r="H34" i="16"/>
  <c r="I34" i="16" s="1"/>
  <c r="H35" i="16"/>
  <c r="I35" i="16" s="1"/>
  <c r="H36" i="16"/>
  <c r="I36" i="16" s="1"/>
  <c r="H68" i="16"/>
  <c r="H69" i="16"/>
  <c r="I69" i="16" s="1"/>
  <c r="H70" i="16"/>
  <c r="I70" i="16" s="1"/>
  <c r="H71" i="16"/>
  <c r="H72" i="16"/>
  <c r="H73" i="16"/>
  <c r="I73" i="16" s="1"/>
  <c r="H337" i="16"/>
  <c r="I337" i="16" s="1"/>
  <c r="H338" i="16"/>
  <c r="I338" i="16" s="1"/>
  <c r="H339" i="16"/>
  <c r="I339" i="16" s="1"/>
  <c r="H340" i="16"/>
  <c r="I340" i="16" s="1"/>
  <c r="H341" i="16"/>
  <c r="H342" i="16"/>
  <c r="I342" i="16" s="1"/>
  <c r="H343" i="16"/>
  <c r="I343" i="16" s="1"/>
  <c r="H344" i="16"/>
  <c r="H345" i="16"/>
  <c r="I345" i="16" s="1"/>
  <c r="H346" i="16"/>
  <c r="I346" i="16" s="1"/>
  <c r="H347" i="16"/>
  <c r="I347" i="16" s="1"/>
  <c r="H348" i="16"/>
  <c r="I348" i="16" s="1"/>
  <c r="H349" i="16"/>
  <c r="H350" i="16"/>
  <c r="I350" i="16" s="1"/>
  <c r="H351" i="16"/>
  <c r="I351" i="16" s="1"/>
  <c r="A12" i="18"/>
  <c r="A26" i="18"/>
  <c r="A27" i="18"/>
  <c r="A28" i="18"/>
  <c r="I68" i="16"/>
  <c r="I71" i="16"/>
  <c r="I72" i="16"/>
  <c r="I341" i="16"/>
  <c r="I344" i="16"/>
  <c r="I349" i="16"/>
  <c r="A39" i="17"/>
  <c r="A40" i="17"/>
  <c r="A23" i="17"/>
  <c r="A24" i="17"/>
  <c r="A25" i="17"/>
  <c r="A26" i="17"/>
  <c r="A27" i="17"/>
  <c r="A28" i="17"/>
  <c r="A29" i="17"/>
  <c r="A30" i="17"/>
  <c r="A31" i="17"/>
  <c r="A32" i="17"/>
  <c r="A33" i="17"/>
  <c r="A34" i="17"/>
  <c r="A35" i="17"/>
  <c r="A36" i="17"/>
  <c r="A37" i="17"/>
  <c r="A38" i="17"/>
  <c r="M4" i="17"/>
  <c r="G23" i="17" s="1"/>
  <c r="L4" i="17"/>
  <c r="F23" i="17" s="1"/>
  <c r="K4" i="17"/>
  <c r="E23" i="17" s="1"/>
  <c r="J4" i="17"/>
  <c r="D23" i="17" s="1"/>
  <c r="D13" i="17"/>
  <c r="E10" i="17"/>
  <c r="D10" i="17"/>
  <c r="D9" i="17"/>
  <c r="B21" i="7"/>
  <c r="E13" i="17" s="1"/>
  <c r="B17" i="17"/>
  <c r="B16" i="17"/>
  <c r="B15" i="17"/>
  <c r="B14" i="17"/>
  <c r="B13" i="17"/>
  <c r="B12" i="17"/>
  <c r="B11" i="17"/>
  <c r="B10" i="17"/>
  <c r="B9" i="17"/>
  <c r="B7" i="17"/>
  <c r="B6" i="17"/>
  <c r="F6" i="17" s="1"/>
  <c r="B5" i="17"/>
  <c r="C215" i="12"/>
  <c r="D215" i="12"/>
  <c r="E215" i="12"/>
  <c r="F215" i="12"/>
  <c r="G215" i="12"/>
  <c r="H215" i="12"/>
  <c r="I215" i="12"/>
  <c r="J215" i="12"/>
  <c r="K215" i="12"/>
  <c r="L215" i="12"/>
  <c r="M215" i="12"/>
  <c r="N215" i="12"/>
  <c r="O215" i="12"/>
  <c r="P215" i="12"/>
  <c r="C216" i="12"/>
  <c r="D216" i="12"/>
  <c r="E216" i="12"/>
  <c r="F216" i="12"/>
  <c r="G216" i="12"/>
  <c r="H216" i="12"/>
  <c r="I216" i="12"/>
  <c r="J216" i="12"/>
  <c r="K216" i="12"/>
  <c r="L216" i="12"/>
  <c r="M216" i="12"/>
  <c r="N216" i="12"/>
  <c r="O216" i="12"/>
  <c r="P216" i="12"/>
  <c r="B216" i="12"/>
  <c r="B215" i="12"/>
  <c r="C195" i="12"/>
  <c r="D195" i="12"/>
  <c r="E195" i="12"/>
  <c r="F195" i="12"/>
  <c r="G195" i="12"/>
  <c r="H195" i="12"/>
  <c r="I195" i="12"/>
  <c r="J195" i="12"/>
  <c r="K195" i="12"/>
  <c r="L195" i="12"/>
  <c r="M195" i="12"/>
  <c r="N195" i="12"/>
  <c r="O195" i="12"/>
  <c r="P195" i="12"/>
  <c r="C196" i="12"/>
  <c r="D196" i="12"/>
  <c r="E196" i="12"/>
  <c r="F196" i="12"/>
  <c r="G196" i="12"/>
  <c r="H196" i="12"/>
  <c r="I196" i="12"/>
  <c r="J196" i="12"/>
  <c r="K196" i="12"/>
  <c r="L196" i="12"/>
  <c r="M196" i="12"/>
  <c r="N196" i="12"/>
  <c r="O196" i="12"/>
  <c r="P196" i="12"/>
  <c r="B196" i="12"/>
  <c r="B195" i="12"/>
  <c r="C174" i="12"/>
  <c r="D174" i="12"/>
  <c r="E174" i="12"/>
  <c r="F174" i="12"/>
  <c r="G174" i="12"/>
  <c r="H174" i="12"/>
  <c r="I174" i="12"/>
  <c r="J174" i="12"/>
  <c r="K174" i="12"/>
  <c r="L174" i="12"/>
  <c r="M174" i="12"/>
  <c r="N174" i="12"/>
  <c r="O174" i="12"/>
  <c r="P174" i="12"/>
  <c r="C175" i="12"/>
  <c r="D175" i="12"/>
  <c r="E175" i="12"/>
  <c r="F175" i="12"/>
  <c r="G175" i="12"/>
  <c r="H175" i="12"/>
  <c r="I175" i="12"/>
  <c r="J175" i="12"/>
  <c r="K175" i="12"/>
  <c r="L175" i="12"/>
  <c r="M175" i="12"/>
  <c r="N175" i="12"/>
  <c r="O175" i="12"/>
  <c r="P175" i="12"/>
  <c r="B175" i="12"/>
  <c r="B174" i="12"/>
  <c r="C152" i="12"/>
  <c r="D152" i="12"/>
  <c r="E152" i="12"/>
  <c r="F152" i="12"/>
  <c r="G152" i="12"/>
  <c r="H152" i="12"/>
  <c r="I152" i="12"/>
  <c r="J152" i="12"/>
  <c r="K152" i="12"/>
  <c r="L152" i="12"/>
  <c r="M152" i="12"/>
  <c r="N152" i="12"/>
  <c r="O152" i="12"/>
  <c r="P152" i="12"/>
  <c r="C153" i="12"/>
  <c r="D153" i="12"/>
  <c r="E153" i="12"/>
  <c r="F153" i="12"/>
  <c r="G153" i="12"/>
  <c r="H153" i="12"/>
  <c r="I153" i="12"/>
  <c r="J153" i="12"/>
  <c r="K153" i="12"/>
  <c r="L153" i="12"/>
  <c r="M153" i="12"/>
  <c r="N153" i="12"/>
  <c r="O153" i="12"/>
  <c r="P153" i="12"/>
  <c r="B153" i="12"/>
  <c r="B152" i="12"/>
  <c r="R138" i="12"/>
  <c r="B131" i="12"/>
  <c r="C131" i="12"/>
  <c r="D131" i="12"/>
  <c r="E131" i="12"/>
  <c r="B132" i="12"/>
  <c r="C132" i="12"/>
  <c r="D132" i="12"/>
  <c r="E132" i="12"/>
  <c r="G131" i="12"/>
  <c r="H131" i="12"/>
  <c r="I131" i="12"/>
  <c r="J131" i="12"/>
  <c r="K131" i="12"/>
  <c r="L131" i="12"/>
  <c r="M131" i="12"/>
  <c r="N131" i="12"/>
  <c r="O131" i="12"/>
  <c r="P131" i="12"/>
  <c r="G132" i="12"/>
  <c r="H132" i="12"/>
  <c r="I132" i="12"/>
  <c r="J132" i="12"/>
  <c r="K132" i="12"/>
  <c r="L132" i="12"/>
  <c r="M132" i="12"/>
  <c r="N132" i="12"/>
  <c r="O132" i="12"/>
  <c r="P132" i="12"/>
  <c r="F132" i="12"/>
  <c r="F131" i="12"/>
  <c r="C109" i="12"/>
  <c r="D109" i="12"/>
  <c r="E109" i="12"/>
  <c r="F109" i="12"/>
  <c r="G109" i="12"/>
  <c r="H109" i="12"/>
  <c r="I109" i="12"/>
  <c r="J109" i="12"/>
  <c r="K109" i="12"/>
  <c r="L109" i="12"/>
  <c r="M109" i="12"/>
  <c r="N109" i="12"/>
  <c r="O109" i="12"/>
  <c r="P109" i="12"/>
  <c r="C110" i="12"/>
  <c r="D110" i="12"/>
  <c r="E110" i="12"/>
  <c r="F110" i="12"/>
  <c r="G110" i="12"/>
  <c r="H110" i="12"/>
  <c r="I110" i="12"/>
  <c r="J110" i="12"/>
  <c r="K110" i="12"/>
  <c r="L110" i="12"/>
  <c r="M110" i="12"/>
  <c r="N110" i="12"/>
  <c r="O110" i="12"/>
  <c r="P110" i="12"/>
  <c r="B110" i="12"/>
  <c r="B109" i="12"/>
  <c r="B27" i="12"/>
  <c r="B26" i="12"/>
  <c r="C100" i="8"/>
  <c r="C101" i="8"/>
  <c r="B100" i="8"/>
  <c r="B101" i="8"/>
  <c r="M42" i="6"/>
  <c r="M43" i="6"/>
  <c r="D37" i="3"/>
  <c r="D21" i="3"/>
  <c r="O369" i="2" s="1"/>
  <c r="D22" i="3"/>
  <c r="O229" i="2" s="1"/>
  <c r="D32" i="3"/>
  <c r="B80" i="8"/>
  <c r="B79" i="8"/>
  <c r="L82" i="5"/>
  <c r="P72" i="5"/>
  <c r="R72" i="5"/>
  <c r="T72" i="5"/>
  <c r="N72" i="5"/>
  <c r="G24" i="5"/>
  <c r="S22" i="5"/>
  <c r="C24" i="5"/>
  <c r="O22" i="5"/>
  <c r="O72" i="5" s="1"/>
  <c r="E24" i="5"/>
  <c r="Q22" i="5"/>
  <c r="B108" i="8"/>
  <c r="C139" i="12" l="1"/>
  <c r="U216" i="12"/>
  <c r="C102" i="12"/>
  <c r="R119" i="12"/>
  <c r="V174" i="12"/>
  <c r="V196" i="12"/>
  <c r="V153" i="12"/>
  <c r="V215" i="12"/>
  <c r="U175" i="12"/>
  <c r="A84" i="19"/>
  <c r="A92" i="19"/>
  <c r="A88" i="19"/>
  <c r="A81" i="19"/>
  <c r="A80" i="19"/>
  <c r="A49" i="19"/>
  <c r="B49" i="19" s="1"/>
  <c r="A89" i="19"/>
  <c r="A87" i="19"/>
  <c r="A79" i="19"/>
  <c r="A76" i="19"/>
  <c r="A86" i="19"/>
  <c r="A78" i="19"/>
  <c r="A85" i="19"/>
  <c r="A77" i="19"/>
  <c r="A83" i="19"/>
  <c r="A90" i="19"/>
  <c r="A82" i="19"/>
  <c r="C142" i="12"/>
  <c r="C143" i="12"/>
  <c r="R121" i="12"/>
  <c r="C166" i="12"/>
  <c r="R139" i="12"/>
  <c r="C140" i="12"/>
  <c r="C185" i="12"/>
  <c r="B41" i="19"/>
  <c r="B40" i="19"/>
  <c r="B37" i="19"/>
  <c r="B39" i="19"/>
  <c r="B38" i="19"/>
  <c r="B45" i="19"/>
  <c r="B44" i="19"/>
  <c r="B36" i="19"/>
  <c r="B46" i="19"/>
  <c r="B43" i="19"/>
  <c r="B47" i="19"/>
  <c r="B50" i="19"/>
  <c r="B42" i="19"/>
  <c r="E17" i="17"/>
  <c r="B368" i="16"/>
  <c r="B378" i="16"/>
  <c r="R122" i="12"/>
  <c r="C186" i="12"/>
  <c r="C123" i="12"/>
  <c r="B372" i="16"/>
  <c r="E9" i="17"/>
  <c r="B373" i="16"/>
  <c r="R101" i="12"/>
  <c r="R132" i="12"/>
  <c r="T195" i="12"/>
  <c r="B374" i="16"/>
  <c r="B375" i="16"/>
  <c r="B376" i="16"/>
  <c r="B367" i="16"/>
  <c r="B369" i="16" s="1"/>
  <c r="B377" i="16"/>
  <c r="U196" i="12"/>
  <c r="V110" i="12"/>
  <c r="V195" i="12"/>
  <c r="V216" i="12"/>
  <c r="V152" i="12"/>
  <c r="V175" i="12"/>
  <c r="T174" i="12"/>
  <c r="R109" i="12"/>
  <c r="V132" i="12"/>
  <c r="Q110" i="12"/>
  <c r="R131" i="12"/>
  <c r="T152" i="12"/>
  <c r="T215" i="12"/>
  <c r="U153" i="12"/>
  <c r="V109" i="12"/>
  <c r="T131" i="12"/>
  <c r="T153" i="12"/>
  <c r="T175" i="12"/>
  <c r="T196" i="12"/>
  <c r="T216" i="12"/>
  <c r="T109" i="12"/>
  <c r="R215" i="12"/>
  <c r="R153" i="12"/>
  <c r="R175" i="12"/>
  <c r="R196" i="12"/>
  <c r="R216" i="12"/>
  <c r="Q174" i="12"/>
  <c r="R110" i="12"/>
  <c r="U152" i="12"/>
  <c r="U174" i="12"/>
  <c r="U195" i="12"/>
  <c r="U215" i="12"/>
  <c r="T110" i="12"/>
  <c r="R152" i="12"/>
  <c r="Q195" i="12"/>
  <c r="U109" i="12"/>
  <c r="Q153" i="12"/>
  <c r="Q175" i="12"/>
  <c r="Q196" i="12"/>
  <c r="Q216" i="12"/>
  <c r="O370" i="2"/>
  <c r="O326" i="2"/>
  <c r="O327" i="2"/>
  <c r="O322" i="2"/>
  <c r="O320" i="2"/>
  <c r="O328" i="2"/>
  <c r="O321" i="2"/>
  <c r="O329" i="2"/>
  <c r="O330" i="2"/>
  <c r="O324" i="2"/>
  <c r="B12" i="18"/>
  <c r="O222" i="2"/>
  <c r="O230" i="2"/>
  <c r="O223" i="2"/>
  <c r="O231" i="2"/>
  <c r="O226" i="2"/>
  <c r="O224" i="2"/>
  <c r="O225" i="2"/>
  <c r="O228" i="2"/>
  <c r="O227" i="2"/>
  <c r="O325" i="2"/>
  <c r="O221" i="2"/>
  <c r="O323" i="2"/>
  <c r="O368" i="2"/>
  <c r="D101" i="8"/>
  <c r="O367" i="2"/>
  <c r="O374" i="2"/>
  <c r="O366" i="2"/>
  <c r="O365" i="2"/>
  <c r="O372" i="2"/>
  <c r="O364" i="2"/>
  <c r="O371" i="2"/>
  <c r="V131" i="12"/>
  <c r="Q152" i="12"/>
  <c r="Q215" i="12"/>
  <c r="R174" i="12"/>
  <c r="R195" i="12"/>
  <c r="U132" i="12"/>
  <c r="Q109" i="12"/>
  <c r="U110" i="12"/>
  <c r="U131" i="12"/>
  <c r="Q131" i="12"/>
  <c r="H99" i="16"/>
  <c r="I99" i="16" s="1"/>
  <c r="H98" i="16"/>
  <c r="I98" i="16" s="1"/>
  <c r="H97" i="16"/>
  <c r="I97" i="16" s="1"/>
  <c r="B11" i="16"/>
  <c r="D26" i="3" s="1"/>
  <c r="O273" i="2" s="1"/>
  <c r="D17" i="17"/>
  <c r="E12" i="17"/>
  <c r="G12" i="17" s="1"/>
  <c r="H12" i="17" s="1"/>
  <c r="E8" i="17"/>
  <c r="G8" i="17" s="1"/>
  <c r="H8" i="17" s="1"/>
  <c r="E16" i="17"/>
  <c r="G16" i="17" s="1"/>
  <c r="H16" i="17" s="1"/>
  <c r="D12" i="17"/>
  <c r="D8" i="17"/>
  <c r="D16" i="17"/>
  <c r="F16" i="17" s="1"/>
  <c r="K16" i="17" s="1"/>
  <c r="E11" i="17"/>
  <c r="G11" i="17" s="1"/>
  <c r="H11" i="17" s="1"/>
  <c r="E6" i="17"/>
  <c r="G6" i="17" s="1"/>
  <c r="E15" i="17"/>
  <c r="G15" i="17" s="1"/>
  <c r="H15" i="17" s="1"/>
  <c r="D11" i="17"/>
  <c r="E7" i="17"/>
  <c r="B19" i="16"/>
  <c r="D20" i="3" s="1"/>
  <c r="D14" i="17"/>
  <c r="F14" i="17" s="1"/>
  <c r="M14" i="17" s="1"/>
  <c r="M18" i="17" s="1"/>
  <c r="E5" i="17"/>
  <c r="G5" i="17" s="1"/>
  <c r="H5" i="17" s="1"/>
  <c r="E14" i="17"/>
  <c r="G14" i="17" s="1"/>
  <c r="H14" i="17" s="1"/>
  <c r="H37" i="16"/>
  <c r="I37" i="16" s="1"/>
  <c r="H30" i="16"/>
  <c r="I30" i="16" s="1"/>
  <c r="H22" i="16"/>
  <c r="I22" i="16" s="1"/>
  <c r="I23" i="16"/>
  <c r="H31" i="16"/>
  <c r="I31" i="16" s="1"/>
  <c r="H33" i="16"/>
  <c r="I33" i="16" s="1"/>
  <c r="H24" i="16"/>
  <c r="I24" i="16" s="1"/>
  <c r="H32" i="16"/>
  <c r="I32" i="16" s="1"/>
  <c r="H25" i="16"/>
  <c r="I25" i="16" s="1"/>
  <c r="G7" i="17"/>
  <c r="H7" i="17" s="1"/>
  <c r="D100" i="8"/>
  <c r="F17" i="17"/>
  <c r="K17" i="17" s="1"/>
  <c r="F9" i="17"/>
  <c r="I9" i="17" s="1"/>
  <c r="F13" i="17"/>
  <c r="L13" i="17" s="1"/>
  <c r="L18" i="17" s="1"/>
  <c r="G17" i="17"/>
  <c r="H17" i="17" s="1"/>
  <c r="G13" i="17"/>
  <c r="H13" i="17" s="1"/>
  <c r="F5" i="17"/>
  <c r="G10" i="17"/>
  <c r="H10" i="17" s="1"/>
  <c r="F11" i="17"/>
  <c r="J11" i="17" s="1"/>
  <c r="F10" i="17"/>
  <c r="J10" i="17" s="1"/>
  <c r="G9" i="17"/>
  <c r="H9" i="17" s="1"/>
  <c r="F8" i="17"/>
  <c r="I8" i="17" s="1"/>
  <c r="F12" i="17"/>
  <c r="J12" i="17" s="1"/>
  <c r="F15" i="17"/>
  <c r="K15" i="17" s="1"/>
  <c r="F7" i="17"/>
  <c r="B18" i="17"/>
  <c r="Q132" i="12"/>
  <c r="T132" i="12"/>
  <c r="S72" i="5"/>
  <c r="Q72" i="5"/>
  <c r="B86" i="8"/>
  <c r="C86" i="8"/>
  <c r="B94" i="8"/>
  <c r="C94" i="8"/>
  <c r="B95" i="8"/>
  <c r="C95" i="8"/>
  <c r="B96" i="8"/>
  <c r="C96" i="8"/>
  <c r="B97" i="8"/>
  <c r="C97" i="8"/>
  <c r="B98" i="8"/>
  <c r="C98" i="8"/>
  <c r="B99" i="8"/>
  <c r="C99" i="8"/>
  <c r="E78" i="8" s="1"/>
  <c r="T159" i="12"/>
  <c r="V214" i="12"/>
  <c r="U214" i="12"/>
  <c r="T214" i="12"/>
  <c r="V213" i="12"/>
  <c r="U213" i="12"/>
  <c r="T213" i="12"/>
  <c r="V212" i="12"/>
  <c r="U212" i="12"/>
  <c r="T212" i="12"/>
  <c r="V211" i="12"/>
  <c r="U211" i="12"/>
  <c r="T211" i="12"/>
  <c r="V210" i="12"/>
  <c r="U210" i="12"/>
  <c r="T210" i="12"/>
  <c r="V209" i="12"/>
  <c r="U209" i="12"/>
  <c r="T209" i="12"/>
  <c r="V208" i="12"/>
  <c r="U208" i="12"/>
  <c r="T208" i="12"/>
  <c r="V207" i="12"/>
  <c r="U207" i="12"/>
  <c r="T207" i="12"/>
  <c r="V206" i="12"/>
  <c r="U206" i="12"/>
  <c r="T206" i="12"/>
  <c r="V205" i="12"/>
  <c r="U205" i="12"/>
  <c r="T205" i="12"/>
  <c r="V204" i="12"/>
  <c r="U204" i="12"/>
  <c r="T204" i="12"/>
  <c r="V203" i="12"/>
  <c r="U203" i="12"/>
  <c r="T203" i="12"/>
  <c r="V202" i="12"/>
  <c r="U202" i="12"/>
  <c r="T202" i="12"/>
  <c r="V201" i="12"/>
  <c r="U201" i="12"/>
  <c r="T201" i="12"/>
  <c r="V200" i="12"/>
  <c r="U200" i="12"/>
  <c r="T200" i="12"/>
  <c r="V194" i="12"/>
  <c r="U194" i="12"/>
  <c r="T194" i="12"/>
  <c r="V193" i="12"/>
  <c r="U193" i="12"/>
  <c r="T193" i="12"/>
  <c r="V192" i="12"/>
  <c r="U192" i="12"/>
  <c r="T192" i="12"/>
  <c r="V191" i="12"/>
  <c r="U191" i="12"/>
  <c r="T191" i="12"/>
  <c r="V190" i="12"/>
  <c r="U190" i="12"/>
  <c r="T190" i="12"/>
  <c r="V189" i="12"/>
  <c r="U189" i="12"/>
  <c r="T189" i="12"/>
  <c r="V188" i="12"/>
  <c r="U188" i="12"/>
  <c r="T188" i="12"/>
  <c r="U187" i="12"/>
  <c r="T187" i="12"/>
  <c r="U186" i="12"/>
  <c r="T186" i="12"/>
  <c r="U185" i="12"/>
  <c r="T185" i="12"/>
  <c r="V184" i="12"/>
  <c r="U184" i="12"/>
  <c r="T184" i="12"/>
  <c r="V183" i="12"/>
  <c r="U183" i="12"/>
  <c r="T183" i="12"/>
  <c r="V182" i="12"/>
  <c r="U182" i="12"/>
  <c r="T182" i="12"/>
  <c r="V181" i="12"/>
  <c r="U181" i="12"/>
  <c r="T181" i="12"/>
  <c r="V180" i="12"/>
  <c r="T180" i="12"/>
  <c r="V173" i="12"/>
  <c r="U173" i="12"/>
  <c r="T173" i="12"/>
  <c r="V172" i="12"/>
  <c r="U172" i="12"/>
  <c r="T172" i="12"/>
  <c r="V171" i="12"/>
  <c r="U171" i="12"/>
  <c r="T171" i="12"/>
  <c r="V170" i="12"/>
  <c r="U170" i="12"/>
  <c r="T170" i="12"/>
  <c r="V169" i="12"/>
  <c r="U169" i="12"/>
  <c r="T169" i="12"/>
  <c r="V168" i="12"/>
  <c r="U168" i="12"/>
  <c r="T168" i="12"/>
  <c r="V167" i="12"/>
  <c r="U167" i="12"/>
  <c r="T167" i="12"/>
  <c r="V166" i="12"/>
  <c r="U166" i="12"/>
  <c r="T166" i="12"/>
  <c r="V165" i="12"/>
  <c r="U165" i="12"/>
  <c r="T165" i="12"/>
  <c r="V164" i="12"/>
  <c r="U164" i="12"/>
  <c r="T164" i="12"/>
  <c r="V163" i="12"/>
  <c r="U163" i="12"/>
  <c r="T163" i="12"/>
  <c r="V162" i="12"/>
  <c r="U162" i="12"/>
  <c r="T162" i="12"/>
  <c r="V161" i="12"/>
  <c r="U161" i="12"/>
  <c r="T161" i="12"/>
  <c r="V160" i="12"/>
  <c r="U160" i="12"/>
  <c r="T160" i="12"/>
  <c r="V159" i="12"/>
  <c r="U159" i="12"/>
  <c r="V151" i="12"/>
  <c r="U151" i="12"/>
  <c r="T151" i="12"/>
  <c r="V150" i="12"/>
  <c r="U150" i="12"/>
  <c r="T150" i="12"/>
  <c r="V149" i="12"/>
  <c r="U149" i="12"/>
  <c r="T149" i="12"/>
  <c r="V148" i="12"/>
  <c r="U148" i="12"/>
  <c r="T148" i="12"/>
  <c r="V147" i="12"/>
  <c r="U147" i="12"/>
  <c r="T147" i="12"/>
  <c r="V146" i="12"/>
  <c r="U146" i="12"/>
  <c r="T146" i="12"/>
  <c r="V145" i="12"/>
  <c r="U145" i="12"/>
  <c r="T145" i="12"/>
  <c r="V144" i="12"/>
  <c r="U144" i="12"/>
  <c r="T144" i="12"/>
  <c r="V143" i="12"/>
  <c r="U143" i="12"/>
  <c r="T143" i="12"/>
  <c r="V142" i="12"/>
  <c r="U142" i="12"/>
  <c r="T142" i="12"/>
  <c r="V141" i="12"/>
  <c r="U141" i="12"/>
  <c r="T141" i="12"/>
  <c r="V140" i="12"/>
  <c r="U140" i="12"/>
  <c r="T140" i="12"/>
  <c r="V139" i="12"/>
  <c r="U139" i="12"/>
  <c r="T139" i="12"/>
  <c r="V138" i="12"/>
  <c r="U138" i="12"/>
  <c r="T138" i="12"/>
  <c r="V137" i="12"/>
  <c r="U137" i="12"/>
  <c r="T137" i="12"/>
  <c r="V130" i="12"/>
  <c r="U130" i="12"/>
  <c r="T130" i="12"/>
  <c r="V129" i="12"/>
  <c r="U129" i="12"/>
  <c r="T129" i="12"/>
  <c r="V128" i="12"/>
  <c r="U128" i="12"/>
  <c r="T128" i="12"/>
  <c r="V127" i="12"/>
  <c r="U127" i="12"/>
  <c r="T127" i="12"/>
  <c r="V126" i="12"/>
  <c r="U126" i="12"/>
  <c r="T126" i="12"/>
  <c r="V125" i="12"/>
  <c r="U125" i="12"/>
  <c r="T125" i="12"/>
  <c r="V124" i="12"/>
  <c r="U124" i="12"/>
  <c r="T124" i="12"/>
  <c r="V123" i="12"/>
  <c r="U123" i="12"/>
  <c r="T123" i="12"/>
  <c r="V122" i="12"/>
  <c r="U122" i="12"/>
  <c r="T122" i="12"/>
  <c r="V121" i="12"/>
  <c r="U121" i="12"/>
  <c r="T121" i="12"/>
  <c r="V120" i="12"/>
  <c r="U120" i="12"/>
  <c r="T120" i="12"/>
  <c r="V119" i="12"/>
  <c r="U119" i="12"/>
  <c r="T119" i="12"/>
  <c r="V118" i="12"/>
  <c r="U118" i="12"/>
  <c r="T118" i="12"/>
  <c r="V117" i="12"/>
  <c r="U117" i="12"/>
  <c r="T117" i="12"/>
  <c r="V116" i="12"/>
  <c r="U116" i="12"/>
  <c r="T116" i="12"/>
  <c r="T95" i="12"/>
  <c r="U95" i="12"/>
  <c r="V95" i="12"/>
  <c r="T96" i="12"/>
  <c r="U96" i="12"/>
  <c r="V96" i="12"/>
  <c r="T97" i="12"/>
  <c r="U97" i="12"/>
  <c r="V97" i="12"/>
  <c r="T98" i="12"/>
  <c r="U98" i="12"/>
  <c r="V98" i="12"/>
  <c r="T99" i="12"/>
  <c r="U99" i="12"/>
  <c r="V99" i="12"/>
  <c r="T100" i="12"/>
  <c r="U100" i="12"/>
  <c r="V100" i="12"/>
  <c r="T101" i="12"/>
  <c r="U101" i="12"/>
  <c r="V101" i="12"/>
  <c r="T102" i="12"/>
  <c r="U102" i="12"/>
  <c r="V102" i="12"/>
  <c r="T103" i="12"/>
  <c r="U103" i="12"/>
  <c r="V103" i="12"/>
  <c r="T104" i="12"/>
  <c r="U104" i="12"/>
  <c r="V104" i="12"/>
  <c r="T105" i="12"/>
  <c r="U105" i="12"/>
  <c r="V105" i="12"/>
  <c r="T106" i="12"/>
  <c r="U106" i="12"/>
  <c r="V106" i="12"/>
  <c r="T107" i="12"/>
  <c r="U107" i="12"/>
  <c r="V107" i="12"/>
  <c r="T108" i="12"/>
  <c r="U108" i="12"/>
  <c r="V108" i="12"/>
  <c r="V94" i="12"/>
  <c r="U94" i="12"/>
  <c r="T94" i="12"/>
  <c r="M496" i="2"/>
  <c r="M497" i="2"/>
  <c r="P497" i="2" s="1"/>
  <c r="M498" i="2"/>
  <c r="P498" i="2" s="1"/>
  <c r="M499" i="2"/>
  <c r="M500" i="2"/>
  <c r="N499" i="2"/>
  <c r="N498" i="2"/>
  <c r="N497" i="2"/>
  <c r="N496" i="2"/>
  <c r="S174" i="12" l="1"/>
  <c r="S152" i="12"/>
  <c r="S215" i="12"/>
  <c r="S153" i="12"/>
  <c r="S216" i="12"/>
  <c r="S196" i="12"/>
  <c r="S195" i="12"/>
  <c r="S175" i="12"/>
  <c r="R123" i="12"/>
  <c r="S131" i="12"/>
  <c r="S110" i="12"/>
  <c r="S132" i="12"/>
  <c r="S109" i="12"/>
  <c r="C187" i="12"/>
  <c r="C144" i="12"/>
  <c r="H112" i="16"/>
  <c r="I112" i="16" s="1"/>
  <c r="H113" i="16"/>
  <c r="I113" i="16" s="1"/>
  <c r="H108" i="16"/>
  <c r="I108" i="16" s="1"/>
  <c r="H109" i="16"/>
  <c r="I109" i="16" s="1"/>
  <c r="H110" i="16"/>
  <c r="I110" i="16" s="1"/>
  <c r="H111" i="16"/>
  <c r="I111" i="16" s="1"/>
  <c r="H127" i="16"/>
  <c r="I127" i="16" s="1"/>
  <c r="H121" i="16"/>
  <c r="I121" i="16" s="1"/>
  <c r="H122" i="16"/>
  <c r="I122" i="16" s="1"/>
  <c r="H123" i="16"/>
  <c r="I123" i="16" s="1"/>
  <c r="H124" i="16"/>
  <c r="I124" i="16" s="1"/>
  <c r="H125" i="16"/>
  <c r="I125" i="16" s="1"/>
  <c r="H126" i="16"/>
  <c r="I126" i="16" s="1"/>
  <c r="H259" i="16"/>
  <c r="I259" i="16" s="1"/>
  <c r="H267" i="16"/>
  <c r="I267" i="16" s="1"/>
  <c r="H260" i="16"/>
  <c r="I260" i="16" s="1"/>
  <c r="H268" i="16"/>
  <c r="I268" i="16" s="1"/>
  <c r="H262" i="16"/>
  <c r="I262" i="16" s="1"/>
  <c r="H270" i="16"/>
  <c r="I270" i="16" s="1"/>
  <c r="H263" i="16"/>
  <c r="I263" i="16" s="1"/>
  <c r="H264" i="16"/>
  <c r="I264" i="16" s="1"/>
  <c r="H265" i="16"/>
  <c r="I265" i="16" s="1"/>
  <c r="H269" i="16"/>
  <c r="I269" i="16" s="1"/>
  <c r="H258" i="16"/>
  <c r="I258" i="16" s="1"/>
  <c r="H266" i="16"/>
  <c r="I266" i="16" s="1"/>
  <c r="H261" i="16"/>
  <c r="I261" i="16" s="1"/>
  <c r="H96" i="16"/>
  <c r="I96" i="16" s="1"/>
  <c r="H95" i="16"/>
  <c r="I95" i="16" s="1"/>
  <c r="B12" i="16" s="1"/>
  <c r="D28" i="3" s="1"/>
  <c r="O295" i="2" s="1"/>
  <c r="H302" i="16"/>
  <c r="I302" i="16" s="1"/>
  <c r="B18" i="16" s="1"/>
  <c r="D34" i="3" s="1"/>
  <c r="O346" i="2" s="1"/>
  <c r="H303" i="16"/>
  <c r="I303" i="16" s="1"/>
  <c r="H306" i="16"/>
  <c r="I306" i="16" s="1"/>
  <c r="H304" i="16"/>
  <c r="I304" i="16" s="1"/>
  <c r="H305" i="16"/>
  <c r="I305" i="16" s="1"/>
  <c r="H45" i="16"/>
  <c r="I45" i="16" s="1"/>
  <c r="H38" i="16"/>
  <c r="I38" i="16" s="1"/>
  <c r="H40" i="16"/>
  <c r="I40" i="16" s="1"/>
  <c r="H41" i="16"/>
  <c r="I41" i="16" s="1"/>
  <c r="H42" i="16"/>
  <c r="I42" i="16" s="1"/>
  <c r="H43" i="16"/>
  <c r="I43" i="16" s="1"/>
  <c r="H39" i="16"/>
  <c r="I39" i="16" s="1"/>
  <c r="H44" i="16"/>
  <c r="I44" i="16" s="1"/>
  <c r="H249" i="16"/>
  <c r="I249" i="16" s="1"/>
  <c r="H251" i="16"/>
  <c r="I251" i="16" s="1"/>
  <c r="H252" i="16"/>
  <c r="I252" i="16" s="1"/>
  <c r="H253" i="16"/>
  <c r="I253" i="16" s="1"/>
  <c r="H254" i="16"/>
  <c r="I254" i="16" s="1"/>
  <c r="H250" i="16"/>
  <c r="I250" i="16" s="1"/>
  <c r="H104" i="16"/>
  <c r="I104" i="16" s="1"/>
  <c r="H100" i="16"/>
  <c r="I100" i="16" s="1"/>
  <c r="H101" i="16"/>
  <c r="I101" i="16" s="1"/>
  <c r="H103" i="16"/>
  <c r="I103" i="16" s="1"/>
  <c r="H102" i="16"/>
  <c r="I102" i="16" s="1"/>
  <c r="B13" i="16" s="1"/>
  <c r="D27" i="3" s="1"/>
  <c r="O284" i="2" s="1"/>
  <c r="H26" i="16"/>
  <c r="I26" i="16" s="1"/>
  <c r="B7" i="16" s="1"/>
  <c r="D24" i="3" s="1"/>
  <c r="O251" i="2" s="1"/>
  <c r="H27" i="16"/>
  <c r="I27" i="16" s="1"/>
  <c r="H28" i="16"/>
  <c r="I28" i="16" s="1"/>
  <c r="H29" i="16"/>
  <c r="I29" i="16" s="1"/>
  <c r="B370" i="16"/>
  <c r="O352" i="2"/>
  <c r="O344" i="2"/>
  <c r="O347" i="2"/>
  <c r="O348" i="2"/>
  <c r="H53" i="16"/>
  <c r="I53" i="16" s="1"/>
  <c r="H61" i="16"/>
  <c r="I61" i="16" s="1"/>
  <c r="H85" i="16"/>
  <c r="I85" i="16" s="1"/>
  <c r="H141" i="16"/>
  <c r="I141" i="16" s="1"/>
  <c r="H181" i="16"/>
  <c r="I181" i="16" s="1"/>
  <c r="H46" i="16"/>
  <c r="I46" i="16" s="1"/>
  <c r="B9" i="16" s="1"/>
  <c r="D36" i="3" s="1"/>
  <c r="H142" i="16"/>
  <c r="I142" i="16" s="1"/>
  <c r="H182" i="16"/>
  <c r="I182" i="16" s="1"/>
  <c r="H47" i="16"/>
  <c r="I47" i="16" s="1"/>
  <c r="H143" i="16"/>
  <c r="I143" i="16" s="1"/>
  <c r="H183" i="16"/>
  <c r="I183" i="16" s="1"/>
  <c r="H49" i="16"/>
  <c r="I49" i="16" s="1"/>
  <c r="H81" i="16"/>
  <c r="I81" i="16" s="1"/>
  <c r="H48" i="16"/>
  <c r="I48" i="16" s="1"/>
  <c r="H136" i="16"/>
  <c r="I136" i="16" s="1"/>
  <c r="H144" i="16"/>
  <c r="I144" i="16" s="1"/>
  <c r="H184" i="16"/>
  <c r="I184" i="16" s="1"/>
  <c r="H105" i="16"/>
  <c r="I105" i="16" s="1"/>
  <c r="H50" i="16"/>
  <c r="I50" i="16" s="1"/>
  <c r="H138" i="16"/>
  <c r="I138" i="16" s="1"/>
  <c r="H51" i="16"/>
  <c r="I51" i="16" s="1"/>
  <c r="H82" i="16"/>
  <c r="I82" i="16" s="1"/>
  <c r="H307" i="16"/>
  <c r="I307" i="16" s="1"/>
  <c r="H106" i="16"/>
  <c r="I106" i="16" s="1"/>
  <c r="H114" i="16"/>
  <c r="I114" i="16" s="1"/>
  <c r="H139" i="16"/>
  <c r="I139" i="16" s="1"/>
  <c r="H60" i="16"/>
  <c r="I60" i="16" s="1"/>
  <c r="H52" i="16"/>
  <c r="I52" i="16" s="1"/>
  <c r="H83" i="16"/>
  <c r="I83" i="16" s="1"/>
  <c r="H107" i="16"/>
  <c r="I107" i="16" s="1"/>
  <c r="H115" i="16"/>
  <c r="I115" i="16" s="1"/>
  <c r="H140" i="16"/>
  <c r="I140" i="16" s="1"/>
  <c r="H58" i="16"/>
  <c r="I58" i="16" s="1"/>
  <c r="H84" i="16"/>
  <c r="I84" i="16" s="1"/>
  <c r="H116" i="16"/>
  <c r="I116" i="16" s="1"/>
  <c r="H186" i="16"/>
  <c r="I186" i="16" s="1"/>
  <c r="H137" i="16"/>
  <c r="I137" i="16" s="1"/>
  <c r="H188" i="16"/>
  <c r="I188" i="16" s="1"/>
  <c r="H59" i="16"/>
  <c r="I59" i="16" s="1"/>
  <c r="H185" i="16"/>
  <c r="I185" i="16" s="1"/>
  <c r="H187" i="16"/>
  <c r="I187" i="16" s="1"/>
  <c r="H308" i="16"/>
  <c r="I308" i="16" s="1"/>
  <c r="B6" i="16"/>
  <c r="D23" i="3" s="1"/>
  <c r="J18" i="17"/>
  <c r="K18" i="17"/>
  <c r="I18" i="17"/>
  <c r="F18" i="17"/>
  <c r="G18" i="17"/>
  <c r="H6" i="17"/>
  <c r="H18" i="17" s="1"/>
  <c r="G78" i="8"/>
  <c r="F78" i="8" s="1"/>
  <c r="D99" i="8"/>
  <c r="D95" i="8"/>
  <c r="D98" i="8"/>
  <c r="D94" i="8"/>
  <c r="D86" i="8"/>
  <c r="D97" i="8"/>
  <c r="D96" i="8"/>
  <c r="P499" i="2"/>
  <c r="P496" i="2"/>
  <c r="M463" i="2"/>
  <c r="P463" i="2" s="1"/>
  <c r="N463" i="2"/>
  <c r="M464" i="2"/>
  <c r="P464" i="2" s="1"/>
  <c r="N464" i="2"/>
  <c r="M465" i="2"/>
  <c r="N465" i="2"/>
  <c r="M466" i="2"/>
  <c r="P466" i="2" s="1"/>
  <c r="N466" i="2"/>
  <c r="N452" i="2"/>
  <c r="N453" i="2"/>
  <c r="N454" i="2"/>
  <c r="N455" i="2"/>
  <c r="M452" i="2"/>
  <c r="M453" i="2"/>
  <c r="M454" i="2"/>
  <c r="M455" i="2"/>
  <c r="H50" i="11"/>
  <c r="H60" i="11"/>
  <c r="H70" i="11"/>
  <c r="H344" i="11"/>
  <c r="H354" i="11"/>
  <c r="H364" i="11"/>
  <c r="H379" i="11"/>
  <c r="H389" i="11"/>
  <c r="H399" i="11"/>
  <c r="H414" i="11"/>
  <c r="H424" i="11"/>
  <c r="H434" i="11"/>
  <c r="H449" i="11"/>
  <c r="H459" i="11"/>
  <c r="H469" i="11"/>
  <c r="H484" i="11"/>
  <c r="H494" i="11"/>
  <c r="H504" i="11"/>
  <c r="H519" i="11"/>
  <c r="H530" i="11"/>
  <c r="H540" i="11"/>
  <c r="F522" i="11"/>
  <c r="B16" i="16" l="1"/>
  <c r="D33" i="3" s="1"/>
  <c r="B15" i="16"/>
  <c r="D29" i="3" s="1"/>
  <c r="O306" i="2" s="1"/>
  <c r="O345" i="2"/>
  <c r="O342" i="2"/>
  <c r="O343" i="2"/>
  <c r="B8" i="16"/>
  <c r="D25" i="3" s="1"/>
  <c r="O262" i="2" s="1"/>
  <c r="O350" i="2"/>
  <c r="B14" i="16"/>
  <c r="D31" i="3" s="1"/>
  <c r="O349" i="2"/>
  <c r="H129" i="16"/>
  <c r="I129" i="16" s="1"/>
  <c r="H355" i="16"/>
  <c r="I355" i="16" s="1"/>
  <c r="H356" i="16"/>
  <c r="I356" i="16" s="1"/>
  <c r="H283" i="16"/>
  <c r="I283" i="16" s="1"/>
  <c r="H284" i="16"/>
  <c r="I284" i="16" s="1"/>
  <c r="H323" i="16"/>
  <c r="I323" i="16" s="1"/>
  <c r="H292" i="16"/>
  <c r="I292" i="16" s="1"/>
  <c r="H324" i="16"/>
  <c r="I324" i="16" s="1"/>
  <c r="H297" i="16"/>
  <c r="I297" i="16" s="1"/>
  <c r="H329" i="16"/>
  <c r="I329" i="16" s="1"/>
  <c r="H354" i="16"/>
  <c r="I354" i="16" s="1"/>
  <c r="H131" i="16"/>
  <c r="I131" i="16" s="1"/>
  <c r="H171" i="16"/>
  <c r="I171" i="16" s="1"/>
  <c r="H90" i="16"/>
  <c r="I90" i="16" s="1"/>
  <c r="H164" i="16"/>
  <c r="I164" i="16" s="1"/>
  <c r="H165" i="16"/>
  <c r="I165" i="16" s="1"/>
  <c r="H237" i="16"/>
  <c r="I237" i="16" s="1"/>
  <c r="H325" i="16"/>
  <c r="I325" i="16" s="1"/>
  <c r="H118" i="16"/>
  <c r="I118" i="16" s="1"/>
  <c r="H206" i="16"/>
  <c r="I206" i="16" s="1"/>
  <c r="H294" i="16"/>
  <c r="I294" i="16" s="1"/>
  <c r="H87" i="16"/>
  <c r="I87" i="16" s="1"/>
  <c r="H199" i="16"/>
  <c r="I199" i="16" s="1"/>
  <c r="H271" i="16"/>
  <c r="I271" i="16" s="1"/>
  <c r="H65" i="16"/>
  <c r="I65" i="16" s="1"/>
  <c r="H128" i="16"/>
  <c r="I128" i="16" s="1"/>
  <c r="H216" i="16"/>
  <c r="I216" i="16" s="1"/>
  <c r="H288" i="16"/>
  <c r="I288" i="16" s="1"/>
  <c r="H89" i="16"/>
  <c r="I89" i="16" s="1"/>
  <c r="H243" i="16"/>
  <c r="I243" i="16" s="1"/>
  <c r="H210" i="16"/>
  <c r="I210" i="16" s="1"/>
  <c r="H330" i="16"/>
  <c r="I330" i="16" s="1"/>
  <c r="H177" i="16"/>
  <c r="I177" i="16" s="1"/>
  <c r="H62" i="16"/>
  <c r="I62" i="16" s="1"/>
  <c r="H64" i="16"/>
  <c r="I64" i="16" s="1"/>
  <c r="H92" i="16"/>
  <c r="I92" i="16" s="1"/>
  <c r="H75" i="16"/>
  <c r="I75" i="16" s="1"/>
  <c r="H74" i="16"/>
  <c r="I74" i="16" s="1"/>
  <c r="H313" i="16"/>
  <c r="I313" i="16" s="1"/>
  <c r="H146" i="16"/>
  <c r="I146" i="16" s="1"/>
  <c r="H173" i="16"/>
  <c r="I173" i="16" s="1"/>
  <c r="H245" i="16"/>
  <c r="I245" i="16" s="1"/>
  <c r="H333" i="16"/>
  <c r="I333" i="16" s="1"/>
  <c r="H134" i="16"/>
  <c r="I134" i="16" s="1"/>
  <c r="H214" i="16"/>
  <c r="I214" i="16" s="1"/>
  <c r="H310" i="16"/>
  <c r="I310" i="16" s="1"/>
  <c r="H119" i="16"/>
  <c r="I119" i="16" s="1"/>
  <c r="H207" i="16"/>
  <c r="I207" i="16" s="1"/>
  <c r="H279" i="16"/>
  <c r="I279" i="16" s="1"/>
  <c r="H145" i="16"/>
  <c r="I145" i="16" s="1"/>
  <c r="H152" i="16"/>
  <c r="I152" i="16" s="1"/>
  <c r="H224" i="16"/>
  <c r="I224" i="16" s="1"/>
  <c r="H296" i="16"/>
  <c r="I296" i="16" s="1"/>
  <c r="H153" i="16"/>
  <c r="I153" i="16" s="1"/>
  <c r="H227" i="16"/>
  <c r="I227" i="16" s="1"/>
  <c r="H194" i="16"/>
  <c r="I194" i="16" s="1"/>
  <c r="H314" i="16"/>
  <c r="I314" i="16" s="1"/>
  <c r="H156" i="16"/>
  <c r="I156" i="16" s="1"/>
  <c r="H299" i="16"/>
  <c r="I299" i="16" s="1"/>
  <c r="H117" i="16"/>
  <c r="I117" i="16" s="1"/>
  <c r="H238" i="16"/>
  <c r="I238" i="16" s="1"/>
  <c r="H248" i="16"/>
  <c r="I248" i="16" s="1"/>
  <c r="H241" i="16"/>
  <c r="I241" i="16" s="1"/>
  <c r="H67" i="16"/>
  <c r="I67" i="16" s="1"/>
  <c r="H66" i="16"/>
  <c r="I66" i="16" s="1"/>
  <c r="H298" i="16"/>
  <c r="I298" i="16" s="1"/>
  <c r="H233" i="16"/>
  <c r="I233" i="16" s="1"/>
  <c r="H77" i="16"/>
  <c r="I77" i="16" s="1"/>
  <c r="H189" i="16"/>
  <c r="I189" i="16" s="1"/>
  <c r="H277" i="16"/>
  <c r="I277" i="16" s="1"/>
  <c r="H357" i="16"/>
  <c r="I357" i="16" s="1"/>
  <c r="H150" i="16"/>
  <c r="I150" i="16" s="1"/>
  <c r="H222" i="16"/>
  <c r="I222" i="16" s="1"/>
  <c r="H318" i="16"/>
  <c r="I318" i="16" s="1"/>
  <c r="H135" i="16"/>
  <c r="I135" i="16" s="1"/>
  <c r="H215" i="16"/>
  <c r="I215" i="16" s="1"/>
  <c r="H287" i="16"/>
  <c r="I287" i="16" s="1"/>
  <c r="H161" i="16"/>
  <c r="I161" i="16" s="1"/>
  <c r="H160" i="16"/>
  <c r="I160" i="16" s="1"/>
  <c r="H232" i="16"/>
  <c r="I232" i="16" s="1"/>
  <c r="H312" i="16"/>
  <c r="I312" i="16" s="1"/>
  <c r="H353" i="16"/>
  <c r="I353" i="16" s="1"/>
  <c r="H211" i="16"/>
  <c r="I211" i="16" s="1"/>
  <c r="H331" i="16"/>
  <c r="I331" i="16" s="1"/>
  <c r="H178" i="16"/>
  <c r="I178" i="16" s="1"/>
  <c r="H289" i="16"/>
  <c r="I289" i="16" s="1"/>
  <c r="H76" i="16"/>
  <c r="I76" i="16" s="1"/>
  <c r="H293" i="16"/>
  <c r="I293" i="16" s="1"/>
  <c r="H176" i="16"/>
  <c r="I176" i="16" s="1"/>
  <c r="H290" i="16"/>
  <c r="I290" i="16" s="1"/>
  <c r="H235" i="16"/>
  <c r="I235" i="16" s="1"/>
  <c r="H322" i="16"/>
  <c r="I322" i="16" s="1"/>
  <c r="H321" i="16"/>
  <c r="I321" i="16" s="1"/>
  <c r="H218" i="16"/>
  <c r="I218" i="16" s="1"/>
  <c r="H217" i="16"/>
  <c r="I217" i="16" s="1"/>
  <c r="H244" i="16"/>
  <c r="I244" i="16" s="1"/>
  <c r="H93" i="16"/>
  <c r="I93" i="16" s="1"/>
  <c r="H197" i="16"/>
  <c r="I197" i="16" s="1"/>
  <c r="H285" i="16"/>
  <c r="I285" i="16" s="1"/>
  <c r="H54" i="16"/>
  <c r="I54" i="16" s="1"/>
  <c r="H158" i="16"/>
  <c r="I158" i="16" s="1"/>
  <c r="H230" i="16"/>
  <c r="I230" i="16" s="1"/>
  <c r="H326" i="16"/>
  <c r="I326" i="16" s="1"/>
  <c r="H151" i="16"/>
  <c r="I151" i="16" s="1"/>
  <c r="H223" i="16"/>
  <c r="I223" i="16" s="1"/>
  <c r="H295" i="16"/>
  <c r="I295" i="16" s="1"/>
  <c r="H56" i="16"/>
  <c r="I56" i="16" s="1"/>
  <c r="H168" i="16"/>
  <c r="I168" i="16" s="1"/>
  <c r="H240" i="16"/>
  <c r="I240" i="16" s="1"/>
  <c r="H320" i="16"/>
  <c r="I320" i="16" s="1"/>
  <c r="H332" i="16"/>
  <c r="I332" i="16" s="1"/>
  <c r="H195" i="16"/>
  <c r="I195" i="16" s="1"/>
  <c r="H315" i="16"/>
  <c r="I315" i="16" s="1"/>
  <c r="H162" i="16"/>
  <c r="I162" i="16" s="1"/>
  <c r="H273" i="16"/>
  <c r="I273" i="16" s="1"/>
  <c r="H201" i="16"/>
  <c r="I201" i="16" s="1"/>
  <c r="H311" i="16"/>
  <c r="I311" i="16" s="1"/>
  <c r="H132" i="16"/>
  <c r="I132" i="16" s="1"/>
  <c r="H91" i="16"/>
  <c r="I91" i="16" s="1"/>
  <c r="H281" i="16"/>
  <c r="I281" i="16" s="1"/>
  <c r="H276" i="16"/>
  <c r="I276" i="16" s="1"/>
  <c r="H169" i="16"/>
  <c r="I169" i="16" s="1"/>
  <c r="H212" i="16"/>
  <c r="I212" i="16" s="1"/>
  <c r="H133" i="16"/>
  <c r="I133" i="16" s="1"/>
  <c r="H213" i="16"/>
  <c r="I213" i="16" s="1"/>
  <c r="H301" i="16"/>
  <c r="I301" i="16" s="1"/>
  <c r="H78" i="16"/>
  <c r="I78" i="16" s="1"/>
  <c r="H174" i="16"/>
  <c r="I174" i="16" s="1"/>
  <c r="H246" i="16"/>
  <c r="I246" i="16" s="1"/>
  <c r="H55" i="16"/>
  <c r="I55" i="16" s="1"/>
  <c r="H167" i="16"/>
  <c r="I167" i="16" s="1"/>
  <c r="H239" i="16"/>
  <c r="I239" i="16" s="1"/>
  <c r="H319" i="16"/>
  <c r="I319" i="16" s="1"/>
  <c r="H80" i="16"/>
  <c r="I80" i="16" s="1"/>
  <c r="H192" i="16"/>
  <c r="I192" i="16" s="1"/>
  <c r="H256" i="16"/>
  <c r="I256" i="16" s="1"/>
  <c r="H336" i="16"/>
  <c r="I336" i="16" s="1"/>
  <c r="H291" i="16"/>
  <c r="I291" i="16" s="1"/>
  <c r="H163" i="16"/>
  <c r="I163" i="16" s="1"/>
  <c r="H274" i="16"/>
  <c r="I274" i="16" s="1"/>
  <c r="H225" i="16"/>
  <c r="I225" i="16" s="1"/>
  <c r="H203" i="16"/>
  <c r="I203" i="16" s="1"/>
  <c r="H172" i="16"/>
  <c r="I172" i="16" s="1"/>
  <c r="H154" i="16"/>
  <c r="I154" i="16" s="1"/>
  <c r="H166" i="16"/>
  <c r="I166" i="16" s="1"/>
  <c r="H231" i="16"/>
  <c r="I231" i="16" s="1"/>
  <c r="H179" i="16"/>
  <c r="I179" i="16" s="1"/>
  <c r="H236" i="16"/>
  <c r="I236" i="16" s="1"/>
  <c r="H282" i="16"/>
  <c r="I282" i="16" s="1"/>
  <c r="H220" i="16"/>
  <c r="I220" i="16" s="1"/>
  <c r="H219" i="16"/>
  <c r="I219" i="16" s="1"/>
  <c r="H204" i="16"/>
  <c r="I204" i="16" s="1"/>
  <c r="H147" i="16"/>
  <c r="I147" i="16" s="1"/>
  <c r="H196" i="16"/>
  <c r="I196" i="16" s="1"/>
  <c r="H149" i="16"/>
  <c r="I149" i="16" s="1"/>
  <c r="H221" i="16"/>
  <c r="I221" i="16" s="1"/>
  <c r="H309" i="16"/>
  <c r="I309" i="16" s="1"/>
  <c r="H86" i="16"/>
  <c r="I86" i="16" s="1"/>
  <c r="H190" i="16"/>
  <c r="I190" i="16" s="1"/>
  <c r="H278" i="16"/>
  <c r="I278" i="16" s="1"/>
  <c r="H63" i="16"/>
  <c r="I63" i="16" s="1"/>
  <c r="H175" i="16"/>
  <c r="I175" i="16" s="1"/>
  <c r="H247" i="16"/>
  <c r="I247" i="16" s="1"/>
  <c r="H327" i="16"/>
  <c r="I327" i="16" s="1"/>
  <c r="H88" i="16"/>
  <c r="I88" i="16" s="1"/>
  <c r="H200" i="16"/>
  <c r="I200" i="16" s="1"/>
  <c r="H272" i="16"/>
  <c r="I272" i="16" s="1"/>
  <c r="H352" i="16"/>
  <c r="I352" i="16" s="1"/>
  <c r="H275" i="16"/>
  <c r="I275" i="16" s="1"/>
  <c r="H242" i="16"/>
  <c r="I242" i="16" s="1"/>
  <c r="H209" i="16"/>
  <c r="I209" i="16" s="1"/>
  <c r="H300" i="16"/>
  <c r="I300" i="16" s="1"/>
  <c r="H205" i="16"/>
  <c r="I205" i="16" s="1"/>
  <c r="H334" i="16"/>
  <c r="I334" i="16" s="1"/>
  <c r="H328" i="16"/>
  <c r="I328" i="16" s="1"/>
  <c r="H202" i="16"/>
  <c r="I202" i="16" s="1"/>
  <c r="H234" i="16"/>
  <c r="I234" i="16" s="1"/>
  <c r="H170" i="16"/>
  <c r="I170" i="16" s="1"/>
  <c r="H155" i="16"/>
  <c r="I155" i="16" s="1"/>
  <c r="H148" i="16"/>
  <c r="I148" i="16" s="1"/>
  <c r="H130" i="16"/>
  <c r="I130" i="16" s="1"/>
  <c r="H180" i="16"/>
  <c r="I180" i="16" s="1"/>
  <c r="H157" i="16"/>
  <c r="I157" i="16" s="1"/>
  <c r="H229" i="16"/>
  <c r="I229" i="16" s="1"/>
  <c r="H317" i="16"/>
  <c r="I317" i="16" s="1"/>
  <c r="H94" i="16"/>
  <c r="I94" i="16" s="1"/>
  <c r="H198" i="16"/>
  <c r="I198" i="16" s="1"/>
  <c r="H286" i="16"/>
  <c r="I286" i="16" s="1"/>
  <c r="H79" i="16"/>
  <c r="I79" i="16" s="1"/>
  <c r="H191" i="16"/>
  <c r="I191" i="16" s="1"/>
  <c r="H255" i="16"/>
  <c r="I255" i="16" s="1"/>
  <c r="H335" i="16"/>
  <c r="I335" i="16" s="1"/>
  <c r="H120" i="16"/>
  <c r="I120" i="16" s="1"/>
  <c r="H208" i="16"/>
  <c r="I208" i="16" s="1"/>
  <c r="H280" i="16"/>
  <c r="I280" i="16" s="1"/>
  <c r="H57" i="16"/>
  <c r="I57" i="16" s="1"/>
  <c r="H257" i="16"/>
  <c r="I257" i="16" s="1"/>
  <c r="H226" i="16"/>
  <c r="I226" i="16" s="1"/>
  <c r="H193" i="16"/>
  <c r="I193" i="16" s="1"/>
  <c r="H228" i="16"/>
  <c r="I228" i="16" s="1"/>
  <c r="H159" i="16"/>
  <c r="I159" i="16" s="1"/>
  <c r="H316" i="16"/>
  <c r="I316" i="16" s="1"/>
  <c r="B17" i="16"/>
  <c r="D30" i="3" s="1"/>
  <c r="B27" i="18"/>
  <c r="O393" i="2"/>
  <c r="O386" i="2"/>
  <c r="O394" i="2"/>
  <c r="O387" i="2"/>
  <c r="O395" i="2"/>
  <c r="O388" i="2"/>
  <c r="O396" i="2"/>
  <c r="O389" i="2"/>
  <c r="O391" i="2"/>
  <c r="O392" i="2"/>
  <c r="O390" i="2"/>
  <c r="O240" i="2"/>
  <c r="B4" i="18"/>
  <c r="B5" i="18"/>
  <c r="P465" i="2"/>
  <c r="P454" i="2"/>
  <c r="P453" i="2"/>
  <c r="P452" i="2"/>
  <c r="P455" i="2"/>
  <c r="O339" i="2" l="1"/>
  <c r="O338" i="2"/>
  <c r="O334" i="2"/>
  <c r="O337" i="2"/>
  <c r="O333" i="2"/>
  <c r="O331" i="2"/>
  <c r="O341" i="2"/>
  <c r="O332" i="2"/>
  <c r="O336" i="2"/>
  <c r="O335" i="2"/>
  <c r="B10" i="16"/>
  <c r="D35" i="3" s="1"/>
  <c r="O310" i="2"/>
  <c r="O314" i="2"/>
  <c r="O311" i="2"/>
  <c r="O312" i="2"/>
  <c r="O315" i="2"/>
  <c r="O309" i="2"/>
  <c r="O316" i="2"/>
  <c r="O319" i="2"/>
  <c r="O317" i="2"/>
  <c r="O360" i="2"/>
  <c r="O355" i="2"/>
  <c r="O357" i="2"/>
  <c r="O358" i="2"/>
  <c r="O356" i="2"/>
  <c r="O363" i="2"/>
  <c r="O354" i="2"/>
  <c r="O361" i="2"/>
  <c r="O353" i="2"/>
  <c r="O359" i="2"/>
  <c r="R161" i="12"/>
  <c r="R182" i="12"/>
  <c r="O186" i="12"/>
  <c r="N185" i="12"/>
  <c r="Q183" i="12"/>
  <c r="Q150" i="12"/>
  <c r="Q99" i="12"/>
  <c r="Q160" i="12"/>
  <c r="S160" i="12" l="1"/>
  <c r="S150" i="12"/>
  <c r="S183" i="12"/>
  <c r="S99" i="12"/>
  <c r="V185" i="12"/>
  <c r="B26" i="18"/>
  <c r="O383" i="2"/>
  <c r="O377" i="2"/>
  <c r="O384" i="2"/>
  <c r="O385" i="2"/>
  <c r="O376" i="2"/>
  <c r="O382" i="2"/>
  <c r="O379" i="2"/>
  <c r="O381" i="2"/>
  <c r="O375" i="2"/>
  <c r="O380" i="2"/>
  <c r="O378" i="2"/>
  <c r="V186" i="12"/>
  <c r="O187" i="12"/>
  <c r="D38" i="3"/>
  <c r="D39" i="3" s="1"/>
  <c r="P194" i="12"/>
  <c r="R193" i="12"/>
  <c r="Q193" i="12"/>
  <c r="R192" i="12"/>
  <c r="Q192" i="12"/>
  <c r="R191" i="12"/>
  <c r="Q191" i="12"/>
  <c r="R190" i="12"/>
  <c r="Q190" i="12"/>
  <c r="R189" i="12"/>
  <c r="Q189" i="12"/>
  <c r="R188" i="12"/>
  <c r="Q188" i="12"/>
  <c r="R186" i="12"/>
  <c r="Q186" i="12"/>
  <c r="R185" i="12"/>
  <c r="Q185" i="12"/>
  <c r="R184" i="12"/>
  <c r="Q184" i="12"/>
  <c r="R183" i="12"/>
  <c r="Q182" i="12"/>
  <c r="R181" i="12"/>
  <c r="Q181" i="12"/>
  <c r="R180" i="12"/>
  <c r="K180" i="12"/>
  <c r="P173" i="12"/>
  <c r="R172" i="12"/>
  <c r="Q172" i="12"/>
  <c r="R171" i="12"/>
  <c r="Q171" i="12"/>
  <c r="R170" i="12"/>
  <c r="Q170" i="12"/>
  <c r="R169" i="12"/>
  <c r="Q169" i="12"/>
  <c r="R168" i="12"/>
  <c r="Q168" i="12"/>
  <c r="R167" i="12"/>
  <c r="Q167" i="12"/>
  <c r="R166" i="12"/>
  <c r="Q166" i="12"/>
  <c r="R165" i="12"/>
  <c r="Q165" i="12"/>
  <c r="R164" i="12"/>
  <c r="R163" i="12"/>
  <c r="Q163" i="12"/>
  <c r="R162" i="12"/>
  <c r="Q162" i="12"/>
  <c r="Q161" i="12"/>
  <c r="R160" i="12"/>
  <c r="R159" i="12"/>
  <c r="Q159" i="12"/>
  <c r="C12" i="12"/>
  <c r="C13" i="12"/>
  <c r="D13" i="12" s="1"/>
  <c r="C14" i="12"/>
  <c r="D14" i="12" s="1"/>
  <c r="C15" i="12"/>
  <c r="D15" i="12" s="1"/>
  <c r="C16" i="12"/>
  <c r="D16" i="12" s="1"/>
  <c r="C17" i="12"/>
  <c r="D17" i="12" s="1"/>
  <c r="C18" i="12"/>
  <c r="D18" i="12" s="1"/>
  <c r="C19" i="12"/>
  <c r="D19" i="12" s="1"/>
  <c r="C20" i="12"/>
  <c r="D20" i="12" s="1"/>
  <c r="C21" i="12"/>
  <c r="D21" i="12" s="1"/>
  <c r="C22" i="12"/>
  <c r="D22" i="12" s="1"/>
  <c r="C23" i="12"/>
  <c r="D23" i="12" s="1"/>
  <c r="C24" i="12"/>
  <c r="D24" i="12" s="1"/>
  <c r="C25" i="12"/>
  <c r="D25" i="12" s="1"/>
  <c r="C11" i="12"/>
  <c r="D11" i="12" s="1"/>
  <c r="S165" i="12" l="1"/>
  <c r="S167" i="12"/>
  <c r="S169" i="12"/>
  <c r="S185" i="12"/>
  <c r="S190" i="12"/>
  <c r="S161" i="12"/>
  <c r="S170" i="12"/>
  <c r="S166" i="12"/>
  <c r="S162" i="12"/>
  <c r="S181" i="12"/>
  <c r="S186" i="12"/>
  <c r="S191" i="12"/>
  <c r="Q187" i="12"/>
  <c r="S171" i="12"/>
  <c r="S163" i="12"/>
  <c r="S182" i="12"/>
  <c r="S188" i="12"/>
  <c r="S192" i="12"/>
  <c r="S168" i="12"/>
  <c r="S172" i="12"/>
  <c r="S159" i="12"/>
  <c r="S184" i="12"/>
  <c r="S189" i="12"/>
  <c r="S193" i="12"/>
  <c r="V187" i="12"/>
  <c r="S187" i="12"/>
  <c r="R187" i="12"/>
  <c r="D12" i="12"/>
  <c r="C26" i="12"/>
  <c r="C27" i="12"/>
  <c r="R173" i="12"/>
  <c r="R194" i="12"/>
  <c r="Q180" i="12"/>
  <c r="U180" i="12"/>
  <c r="Q164" i="12"/>
  <c r="Q173" i="12"/>
  <c r="Q194" i="12"/>
  <c r="R202" i="12"/>
  <c r="R214" i="12"/>
  <c r="R213" i="12"/>
  <c r="Q213" i="12"/>
  <c r="R212" i="12"/>
  <c r="Q212" i="12"/>
  <c r="R211" i="12"/>
  <c r="Q211" i="12"/>
  <c r="R210" i="12"/>
  <c r="Q210" i="12"/>
  <c r="R209" i="12"/>
  <c r="Q209" i="12"/>
  <c r="R208" i="12"/>
  <c r="Q208" i="12"/>
  <c r="R207" i="12"/>
  <c r="Q207" i="12"/>
  <c r="R206" i="12"/>
  <c r="Q206" i="12"/>
  <c r="R205" i="12"/>
  <c r="Q205" i="12"/>
  <c r="R204" i="12"/>
  <c r="Q204" i="12"/>
  <c r="R203" i="12"/>
  <c r="Q203" i="12"/>
  <c r="Q202" i="12"/>
  <c r="R201" i="12"/>
  <c r="Q201" i="12"/>
  <c r="R200" i="12"/>
  <c r="Q200" i="12"/>
  <c r="M398" i="2"/>
  <c r="N398" i="2"/>
  <c r="M399" i="2"/>
  <c r="N399" i="2"/>
  <c r="M400" i="2"/>
  <c r="N400" i="2"/>
  <c r="M401" i="2"/>
  <c r="P401" i="2" s="1"/>
  <c r="N401" i="2"/>
  <c r="M402" i="2"/>
  <c r="P402" i="2" s="1"/>
  <c r="N402" i="2"/>
  <c r="M403" i="2"/>
  <c r="N403" i="2"/>
  <c r="M404" i="2"/>
  <c r="P404" i="2" s="1"/>
  <c r="N404" i="2"/>
  <c r="M405" i="2"/>
  <c r="N405" i="2"/>
  <c r="M406" i="2"/>
  <c r="N406" i="2"/>
  <c r="M407" i="2"/>
  <c r="N407" i="2"/>
  <c r="M408" i="2"/>
  <c r="P408" i="2" s="1"/>
  <c r="N408" i="2"/>
  <c r="M409" i="2"/>
  <c r="P409" i="2" s="1"/>
  <c r="N409" i="2"/>
  <c r="M410" i="2"/>
  <c r="N410" i="2"/>
  <c r="M411" i="2"/>
  <c r="P411" i="2" s="1"/>
  <c r="N411" i="2"/>
  <c r="M412" i="2"/>
  <c r="P412" i="2" s="1"/>
  <c r="N412" i="2"/>
  <c r="M413" i="2"/>
  <c r="N413" i="2"/>
  <c r="M414" i="2"/>
  <c r="N414" i="2"/>
  <c r="M415" i="2"/>
  <c r="N415" i="2"/>
  <c r="M416" i="2"/>
  <c r="P416" i="2" s="1"/>
  <c r="N416" i="2"/>
  <c r="M417" i="2"/>
  <c r="N417" i="2"/>
  <c r="M418" i="2"/>
  <c r="N418" i="2"/>
  <c r="M419" i="2"/>
  <c r="P419" i="2" s="1"/>
  <c r="N419" i="2"/>
  <c r="M420" i="2"/>
  <c r="N420" i="2"/>
  <c r="M421" i="2"/>
  <c r="N421" i="2"/>
  <c r="M422" i="2"/>
  <c r="N422" i="2"/>
  <c r="M423" i="2"/>
  <c r="N423" i="2"/>
  <c r="M424" i="2"/>
  <c r="N424" i="2"/>
  <c r="M425" i="2"/>
  <c r="P425" i="2" s="1"/>
  <c r="N425" i="2"/>
  <c r="M426" i="2"/>
  <c r="N426" i="2"/>
  <c r="M427" i="2"/>
  <c r="P427" i="2" s="1"/>
  <c r="N427" i="2"/>
  <c r="M428" i="2"/>
  <c r="P428" i="2" s="1"/>
  <c r="N428" i="2"/>
  <c r="M429" i="2"/>
  <c r="N429" i="2"/>
  <c r="M430" i="2"/>
  <c r="N430" i="2"/>
  <c r="M431" i="2"/>
  <c r="P431" i="2" s="1"/>
  <c r="N431" i="2"/>
  <c r="M432" i="2"/>
  <c r="N432" i="2"/>
  <c r="M433" i="2"/>
  <c r="N433" i="2"/>
  <c r="M434" i="2"/>
  <c r="N434" i="2"/>
  <c r="M435" i="2"/>
  <c r="P435" i="2" s="1"/>
  <c r="N435" i="2"/>
  <c r="M436" i="2"/>
  <c r="N436" i="2"/>
  <c r="M437" i="2"/>
  <c r="N437" i="2"/>
  <c r="M438" i="2"/>
  <c r="N438" i="2"/>
  <c r="M439" i="2"/>
  <c r="N439" i="2"/>
  <c r="M440" i="2"/>
  <c r="N440" i="2"/>
  <c r="M441" i="2"/>
  <c r="P441" i="2" s="1"/>
  <c r="N441" i="2"/>
  <c r="M442" i="2"/>
  <c r="P442" i="2" s="1"/>
  <c r="N442" i="2"/>
  <c r="M443" i="2"/>
  <c r="N443" i="2"/>
  <c r="M444" i="2"/>
  <c r="P444" i="2" s="1"/>
  <c r="N444" i="2"/>
  <c r="M445" i="2"/>
  <c r="N445" i="2"/>
  <c r="M446" i="2"/>
  <c r="P446" i="2" s="1"/>
  <c r="N446" i="2"/>
  <c r="M447" i="2"/>
  <c r="N447" i="2"/>
  <c r="M448" i="2"/>
  <c r="N448" i="2"/>
  <c r="M449" i="2"/>
  <c r="N449" i="2"/>
  <c r="M450" i="2"/>
  <c r="P450" i="2" s="1"/>
  <c r="N450" i="2"/>
  <c r="M451" i="2"/>
  <c r="N451" i="2"/>
  <c r="M456" i="2"/>
  <c r="P456" i="2" s="1"/>
  <c r="N456" i="2"/>
  <c r="M457" i="2"/>
  <c r="N457" i="2"/>
  <c r="M458" i="2"/>
  <c r="P458" i="2" s="1"/>
  <c r="N458" i="2"/>
  <c r="M459" i="2"/>
  <c r="N459" i="2"/>
  <c r="M460" i="2"/>
  <c r="N460" i="2"/>
  <c r="M461" i="2"/>
  <c r="N461" i="2"/>
  <c r="M462" i="2"/>
  <c r="N462" i="2"/>
  <c r="M467" i="2"/>
  <c r="N467" i="2"/>
  <c r="M468" i="2"/>
  <c r="N468" i="2"/>
  <c r="M469" i="2"/>
  <c r="P469" i="2" s="1"/>
  <c r="N469" i="2"/>
  <c r="M470" i="2"/>
  <c r="N470" i="2"/>
  <c r="M471" i="2"/>
  <c r="P471" i="2" s="1"/>
  <c r="N471" i="2"/>
  <c r="M472" i="2"/>
  <c r="N472" i="2"/>
  <c r="M473" i="2"/>
  <c r="N473" i="2"/>
  <c r="M474" i="2"/>
  <c r="P474" i="2" s="1"/>
  <c r="N474" i="2"/>
  <c r="M475" i="2"/>
  <c r="N475" i="2"/>
  <c r="M476" i="2"/>
  <c r="N476" i="2"/>
  <c r="M477" i="2"/>
  <c r="P477" i="2" s="1"/>
  <c r="N477" i="2"/>
  <c r="M478" i="2"/>
  <c r="N478" i="2"/>
  <c r="M479" i="2"/>
  <c r="N479" i="2"/>
  <c r="M480" i="2"/>
  <c r="N480" i="2"/>
  <c r="M481" i="2"/>
  <c r="N481" i="2"/>
  <c r="M482" i="2"/>
  <c r="P482" i="2" s="1"/>
  <c r="N482" i="2"/>
  <c r="M483" i="2"/>
  <c r="P483" i="2" s="1"/>
  <c r="N483" i="2"/>
  <c r="M484" i="2"/>
  <c r="N484" i="2"/>
  <c r="M485" i="2"/>
  <c r="P485" i="2" s="1"/>
  <c r="N485" i="2"/>
  <c r="M486" i="2"/>
  <c r="N486" i="2"/>
  <c r="M487" i="2"/>
  <c r="N487" i="2"/>
  <c r="M488" i="2"/>
  <c r="N488" i="2"/>
  <c r="M489" i="2"/>
  <c r="N489" i="2"/>
  <c r="M490" i="2"/>
  <c r="P490" i="2" s="1"/>
  <c r="N490" i="2"/>
  <c r="M491" i="2"/>
  <c r="N491" i="2"/>
  <c r="M492" i="2"/>
  <c r="N492" i="2"/>
  <c r="M493" i="2"/>
  <c r="P493" i="2" s="1"/>
  <c r="N493" i="2"/>
  <c r="M494" i="2"/>
  <c r="N494" i="2"/>
  <c r="M495" i="2"/>
  <c r="P495" i="2" s="1"/>
  <c r="N495" i="2"/>
  <c r="N500" i="2"/>
  <c r="M501" i="2"/>
  <c r="N501" i="2"/>
  <c r="M502" i="2"/>
  <c r="P502" i="2" s="1"/>
  <c r="N502" i="2"/>
  <c r="M503" i="2"/>
  <c r="P503" i="2" s="1"/>
  <c r="N503" i="2"/>
  <c r="M504" i="2"/>
  <c r="N504" i="2"/>
  <c r="M505" i="2"/>
  <c r="P505" i="2" s="1"/>
  <c r="N505" i="2"/>
  <c r="M506" i="2"/>
  <c r="N506" i="2"/>
  <c r="M507" i="2"/>
  <c r="N507" i="2"/>
  <c r="M508" i="2"/>
  <c r="N508" i="2"/>
  <c r="M509" i="2"/>
  <c r="N509" i="2"/>
  <c r="M510" i="2"/>
  <c r="P510" i="2" s="1"/>
  <c r="N510" i="2"/>
  <c r="M511" i="2"/>
  <c r="N511" i="2"/>
  <c r="M512" i="2"/>
  <c r="N512" i="2"/>
  <c r="M513" i="2"/>
  <c r="P513" i="2" s="1"/>
  <c r="N513" i="2"/>
  <c r="M514" i="2"/>
  <c r="N514" i="2"/>
  <c r="M515" i="2"/>
  <c r="N515" i="2"/>
  <c r="M516" i="2"/>
  <c r="N516" i="2"/>
  <c r="M517" i="2"/>
  <c r="N517" i="2"/>
  <c r="M518" i="2"/>
  <c r="N518" i="2"/>
  <c r="M519" i="2"/>
  <c r="N519" i="2"/>
  <c r="M520" i="2"/>
  <c r="N520" i="2"/>
  <c r="M521" i="2"/>
  <c r="P521" i="2" s="1"/>
  <c r="N521" i="2"/>
  <c r="M522" i="2"/>
  <c r="N522" i="2"/>
  <c r="M523" i="2"/>
  <c r="N523" i="2"/>
  <c r="M524" i="2"/>
  <c r="N524" i="2"/>
  <c r="M525" i="2"/>
  <c r="N525" i="2"/>
  <c r="M526" i="2"/>
  <c r="N526" i="2"/>
  <c r="M527" i="2"/>
  <c r="N527" i="2"/>
  <c r="M528" i="2"/>
  <c r="N528" i="2"/>
  <c r="M529" i="2"/>
  <c r="P529" i="2" s="1"/>
  <c r="N529" i="2"/>
  <c r="M530" i="2"/>
  <c r="N530" i="2"/>
  <c r="M531" i="2"/>
  <c r="N531" i="2"/>
  <c r="M532" i="2"/>
  <c r="N532" i="2"/>
  <c r="M533" i="2"/>
  <c r="N533" i="2"/>
  <c r="M534" i="2"/>
  <c r="P534" i="2" s="1"/>
  <c r="N534" i="2"/>
  <c r="M535" i="2"/>
  <c r="N535" i="2"/>
  <c r="M536" i="2"/>
  <c r="N536" i="2"/>
  <c r="M537" i="2"/>
  <c r="P537" i="2" s="1"/>
  <c r="N537" i="2"/>
  <c r="M538" i="2"/>
  <c r="N538" i="2"/>
  <c r="M539" i="2"/>
  <c r="N539" i="2"/>
  <c r="M540" i="2"/>
  <c r="N540" i="2"/>
  <c r="M541" i="2"/>
  <c r="N541" i="2"/>
  <c r="M542" i="2"/>
  <c r="P542" i="2" s="1"/>
  <c r="N542" i="2"/>
  <c r="M543" i="2"/>
  <c r="N543" i="2"/>
  <c r="M544" i="2"/>
  <c r="N544" i="2"/>
  <c r="M545" i="2"/>
  <c r="N545" i="2"/>
  <c r="M546" i="2"/>
  <c r="N546" i="2"/>
  <c r="M547" i="2"/>
  <c r="N547" i="2"/>
  <c r="M548" i="2"/>
  <c r="N548" i="2"/>
  <c r="M549" i="2"/>
  <c r="N549" i="2"/>
  <c r="M550" i="2"/>
  <c r="P550" i="2" s="1"/>
  <c r="N550" i="2"/>
  <c r="M551" i="2"/>
  <c r="N551" i="2"/>
  <c r="M552" i="2"/>
  <c r="N552" i="2"/>
  <c r="M553" i="2"/>
  <c r="N553" i="2"/>
  <c r="M554" i="2"/>
  <c r="N554" i="2"/>
  <c r="M555" i="2"/>
  <c r="N555" i="2"/>
  <c r="M556" i="2"/>
  <c r="N556" i="2"/>
  <c r="M557" i="2"/>
  <c r="N557" i="2"/>
  <c r="M558" i="2"/>
  <c r="P558" i="2" s="1"/>
  <c r="N558" i="2"/>
  <c r="M559" i="2"/>
  <c r="N559" i="2"/>
  <c r="M560" i="2"/>
  <c r="N560" i="2"/>
  <c r="M561" i="2"/>
  <c r="N561" i="2"/>
  <c r="F36" i="11"/>
  <c r="F37" i="11"/>
  <c r="F38" i="11"/>
  <c r="F39" i="11"/>
  <c r="F51" i="11"/>
  <c r="F52" i="11"/>
  <c r="F53" i="11"/>
  <c r="F54" i="11"/>
  <c r="F55" i="11"/>
  <c r="F56" i="11"/>
  <c r="F57" i="11"/>
  <c r="F58" i="11"/>
  <c r="F59" i="11"/>
  <c r="F60" i="11"/>
  <c r="F61" i="11"/>
  <c r="F62" i="11"/>
  <c r="F63" i="11"/>
  <c r="F64" i="11"/>
  <c r="F65" i="11"/>
  <c r="F66" i="11"/>
  <c r="F67" i="11"/>
  <c r="F68" i="11"/>
  <c r="F69" i="11"/>
  <c r="F70" i="11"/>
  <c r="F71" i="11"/>
  <c r="F72" i="11"/>
  <c r="F73" i="11"/>
  <c r="F74" i="11"/>
  <c r="F97" i="11"/>
  <c r="F98" i="11"/>
  <c r="F99" i="11"/>
  <c r="F100" i="11"/>
  <c r="F101" i="11"/>
  <c r="F102" i="11"/>
  <c r="F103" i="11"/>
  <c r="F104" i="11"/>
  <c r="F105" i="11"/>
  <c r="F117" i="11"/>
  <c r="F118" i="11"/>
  <c r="F119" i="11"/>
  <c r="F120" i="11"/>
  <c r="F132" i="11"/>
  <c r="F133" i="11"/>
  <c r="F134" i="11"/>
  <c r="F135" i="11"/>
  <c r="F136" i="11"/>
  <c r="F137" i="11"/>
  <c r="F138" i="11"/>
  <c r="F139" i="11"/>
  <c r="F140" i="11"/>
  <c r="F141" i="11"/>
  <c r="F142" i="11"/>
  <c r="F143" i="11"/>
  <c r="F144" i="11"/>
  <c r="F145" i="11"/>
  <c r="F146" i="11"/>
  <c r="F147" i="11"/>
  <c r="F148" i="11"/>
  <c r="F149" i="11"/>
  <c r="F150" i="11"/>
  <c r="F151" i="11"/>
  <c r="F152" i="11"/>
  <c r="F153" i="11"/>
  <c r="F154" i="11"/>
  <c r="F155" i="11"/>
  <c r="F156" i="11"/>
  <c r="F168" i="11"/>
  <c r="F169" i="11"/>
  <c r="F170" i="11"/>
  <c r="F171" i="11"/>
  <c r="F172" i="11"/>
  <c r="F173" i="11"/>
  <c r="F174" i="11"/>
  <c r="F175" i="11"/>
  <c r="F176" i="11"/>
  <c r="F177" i="11"/>
  <c r="F178" i="11"/>
  <c r="F179" i="11"/>
  <c r="F180" i="11"/>
  <c r="F181" i="11"/>
  <c r="F182" i="11"/>
  <c r="F183" i="11"/>
  <c r="F184" i="11"/>
  <c r="F185" i="11"/>
  <c r="F186" i="11"/>
  <c r="F187" i="11"/>
  <c r="F188" i="11"/>
  <c r="F189" i="11"/>
  <c r="F190" i="11"/>
  <c r="F191" i="11"/>
  <c r="F192" i="11"/>
  <c r="F204" i="11"/>
  <c r="F205" i="11"/>
  <c r="F206" i="11"/>
  <c r="F207" i="11"/>
  <c r="F208" i="11"/>
  <c r="F209" i="11"/>
  <c r="F210" i="11"/>
  <c r="F211" i="11"/>
  <c r="F212" i="11"/>
  <c r="F213" i="11"/>
  <c r="F214" i="11"/>
  <c r="F215" i="11"/>
  <c r="F216" i="11"/>
  <c r="F217" i="11"/>
  <c r="F218" i="11"/>
  <c r="F219" i="11"/>
  <c r="F220" i="11"/>
  <c r="F221" i="11"/>
  <c r="F222" i="11"/>
  <c r="F223" i="11"/>
  <c r="F224" i="11"/>
  <c r="F225" i="11"/>
  <c r="F226" i="11"/>
  <c r="F227" i="11"/>
  <c r="F228" i="11"/>
  <c r="F240" i="11"/>
  <c r="F241" i="11"/>
  <c r="F242" i="11"/>
  <c r="F243" i="11"/>
  <c r="F244" i="11"/>
  <c r="F245" i="11"/>
  <c r="F246" i="11"/>
  <c r="F247" i="11"/>
  <c r="F248" i="11"/>
  <c r="F249" i="11"/>
  <c r="F250" i="11"/>
  <c r="F251" i="11"/>
  <c r="F252" i="11"/>
  <c r="F253" i="11"/>
  <c r="F254" i="11"/>
  <c r="F255" i="11"/>
  <c r="F256" i="11"/>
  <c r="F257" i="11"/>
  <c r="F258" i="11"/>
  <c r="F259" i="11"/>
  <c r="F260" i="11"/>
  <c r="F261" i="11"/>
  <c r="F262" i="11"/>
  <c r="F263" i="11"/>
  <c r="F275" i="11"/>
  <c r="F276" i="11"/>
  <c r="F277" i="11"/>
  <c r="F278" i="11"/>
  <c r="F279" i="11"/>
  <c r="F280" i="11"/>
  <c r="F281" i="11"/>
  <c r="F282" i="11"/>
  <c r="F283" i="11"/>
  <c r="F284" i="11"/>
  <c r="F285" i="11"/>
  <c r="F286" i="11"/>
  <c r="F287" i="11"/>
  <c r="F288" i="11"/>
  <c r="F289" i="11"/>
  <c r="F290" i="11"/>
  <c r="F291" i="11"/>
  <c r="F292" i="11"/>
  <c r="F293" i="11"/>
  <c r="F294" i="11"/>
  <c r="F295" i="11"/>
  <c r="F296" i="11"/>
  <c r="F297" i="11"/>
  <c r="F298" i="11"/>
  <c r="F310" i="11"/>
  <c r="F311" i="11"/>
  <c r="F312" i="11"/>
  <c r="F313" i="11"/>
  <c r="F314" i="11"/>
  <c r="F315" i="11"/>
  <c r="F316" i="11"/>
  <c r="F317" i="11"/>
  <c r="F318" i="11"/>
  <c r="F319" i="11"/>
  <c r="F320" i="11"/>
  <c r="F321" i="11"/>
  <c r="F322" i="11"/>
  <c r="F323" i="11"/>
  <c r="F324" i="11"/>
  <c r="F325" i="11"/>
  <c r="F326" i="11"/>
  <c r="F327" i="11"/>
  <c r="F328" i="11"/>
  <c r="F329" i="11"/>
  <c r="F330" i="11"/>
  <c r="F331" i="11"/>
  <c r="F332" i="11"/>
  <c r="F333" i="11"/>
  <c r="F345" i="11"/>
  <c r="F346" i="11"/>
  <c r="F347" i="11"/>
  <c r="F348" i="11"/>
  <c r="F349" i="11"/>
  <c r="F350" i="11"/>
  <c r="F351" i="11"/>
  <c r="F352" i="11"/>
  <c r="F353" i="11"/>
  <c r="F354" i="11"/>
  <c r="F355" i="11"/>
  <c r="F356" i="11"/>
  <c r="F357" i="11"/>
  <c r="F358" i="11"/>
  <c r="F359" i="11"/>
  <c r="F360" i="11"/>
  <c r="F361" i="11"/>
  <c r="F362" i="11"/>
  <c r="F363" i="11"/>
  <c r="F364" i="11"/>
  <c r="F365" i="11"/>
  <c r="F366" i="11"/>
  <c r="F367" i="11"/>
  <c r="F368" i="11"/>
  <c r="F380" i="11"/>
  <c r="F381" i="11"/>
  <c r="F382" i="11"/>
  <c r="F383" i="11"/>
  <c r="F384" i="11"/>
  <c r="F385" i="11"/>
  <c r="F386" i="11"/>
  <c r="F387" i="11"/>
  <c r="F388" i="11"/>
  <c r="F389" i="11"/>
  <c r="F390" i="11"/>
  <c r="F391" i="11"/>
  <c r="F392" i="11"/>
  <c r="F393" i="11"/>
  <c r="F394" i="11"/>
  <c r="F395" i="11"/>
  <c r="F396" i="11"/>
  <c r="F397" i="11"/>
  <c r="F398" i="11"/>
  <c r="F399" i="11"/>
  <c r="F400" i="11"/>
  <c r="F401" i="11"/>
  <c r="F402" i="11"/>
  <c r="F403" i="11"/>
  <c r="F415" i="11"/>
  <c r="F416" i="11"/>
  <c r="F417" i="11"/>
  <c r="F418" i="11"/>
  <c r="F419" i="11"/>
  <c r="F420" i="11"/>
  <c r="F421" i="11"/>
  <c r="F422" i="11"/>
  <c r="F423" i="11"/>
  <c r="F424" i="11"/>
  <c r="F425" i="11"/>
  <c r="F426" i="11"/>
  <c r="F427" i="11"/>
  <c r="F428" i="11"/>
  <c r="F429" i="11"/>
  <c r="F430" i="11"/>
  <c r="F431" i="11"/>
  <c r="F432" i="11"/>
  <c r="F433" i="11"/>
  <c r="F434" i="11"/>
  <c r="F435" i="11"/>
  <c r="F436" i="11"/>
  <c r="F437" i="11"/>
  <c r="F438" i="11"/>
  <c r="F450" i="11"/>
  <c r="F451" i="11"/>
  <c r="F452" i="11"/>
  <c r="F453" i="11"/>
  <c r="F454" i="11"/>
  <c r="F455" i="11"/>
  <c r="F456" i="11"/>
  <c r="F457" i="11"/>
  <c r="F458" i="11"/>
  <c r="F459" i="11"/>
  <c r="F460" i="11"/>
  <c r="F461" i="11"/>
  <c r="F462" i="11"/>
  <c r="F463" i="11"/>
  <c r="F464" i="11"/>
  <c r="F465" i="11"/>
  <c r="F466" i="11"/>
  <c r="F467" i="11"/>
  <c r="F468" i="11"/>
  <c r="F469" i="11"/>
  <c r="F470" i="11"/>
  <c r="F471" i="11"/>
  <c r="F472" i="11"/>
  <c r="F473" i="11"/>
  <c r="F485" i="11"/>
  <c r="F486" i="11"/>
  <c r="F487" i="11"/>
  <c r="F488" i="11"/>
  <c r="F489" i="11"/>
  <c r="F490" i="11"/>
  <c r="F491" i="11"/>
  <c r="F492" i="11"/>
  <c r="F493" i="11"/>
  <c r="F494" i="11"/>
  <c r="F495" i="11"/>
  <c r="F496" i="11"/>
  <c r="F497" i="11"/>
  <c r="F498" i="11"/>
  <c r="F499" i="11"/>
  <c r="F500" i="11"/>
  <c r="F501" i="11"/>
  <c r="F502" i="11"/>
  <c r="F503" i="11"/>
  <c r="F504" i="11"/>
  <c r="F505" i="11"/>
  <c r="F506" i="11"/>
  <c r="F507" i="11"/>
  <c r="F508" i="11"/>
  <c r="F520" i="11"/>
  <c r="F521" i="11"/>
  <c r="F523" i="11"/>
  <c r="F524" i="11"/>
  <c r="F525" i="11"/>
  <c r="F526" i="11"/>
  <c r="F527" i="11"/>
  <c r="F528" i="11"/>
  <c r="F529" i="11"/>
  <c r="F530" i="11"/>
  <c r="F531" i="11"/>
  <c r="F532" i="11"/>
  <c r="F533" i="11"/>
  <c r="F534" i="11"/>
  <c r="F535" i="11"/>
  <c r="F536" i="11"/>
  <c r="F537" i="11"/>
  <c r="F538" i="11"/>
  <c r="F539" i="11"/>
  <c r="F540" i="11"/>
  <c r="F541" i="11"/>
  <c r="F542" i="11"/>
  <c r="F543" i="11"/>
  <c r="F544" i="11"/>
  <c r="H65" i="8"/>
  <c r="H73" i="8"/>
  <c r="H74" i="8"/>
  <c r="H75" i="8"/>
  <c r="H76" i="8"/>
  <c r="H77" i="8"/>
  <c r="H78" i="8"/>
  <c r="F15" i="11"/>
  <c r="F16" i="11"/>
  <c r="F17" i="11"/>
  <c r="F18" i="11"/>
  <c r="F19" i="11"/>
  <c r="F20" i="11"/>
  <c r="F21" i="11"/>
  <c r="F22" i="11"/>
  <c r="F23" i="11"/>
  <c r="F24" i="11"/>
  <c r="F25" i="11"/>
  <c r="F26" i="11"/>
  <c r="F27" i="11"/>
  <c r="F28" i="11"/>
  <c r="F29" i="11"/>
  <c r="F30" i="11"/>
  <c r="F31" i="11"/>
  <c r="F32" i="11"/>
  <c r="F33" i="11"/>
  <c r="F34" i="11"/>
  <c r="F35" i="11"/>
  <c r="Q149" i="12"/>
  <c r="Q148" i="12"/>
  <c r="Q147" i="12"/>
  <c r="Q146" i="12"/>
  <c r="Q145" i="12"/>
  <c r="Q144" i="12"/>
  <c r="Q143" i="12"/>
  <c r="Q142" i="12"/>
  <c r="Q141" i="12"/>
  <c r="Q140" i="12"/>
  <c r="Q139" i="12"/>
  <c r="Q138" i="12"/>
  <c r="Q137" i="12"/>
  <c r="Q127" i="12"/>
  <c r="Q126" i="12"/>
  <c r="Q124" i="12"/>
  <c r="Q123" i="12"/>
  <c r="Q119" i="12"/>
  <c r="Q118" i="12"/>
  <c r="Q117" i="12"/>
  <c r="Q107" i="12"/>
  <c r="Q106" i="12"/>
  <c r="Q105" i="12"/>
  <c r="Q104" i="12"/>
  <c r="Q103" i="12"/>
  <c r="Q102" i="12"/>
  <c r="Q101" i="12"/>
  <c r="Q100" i="12"/>
  <c r="Q98" i="12"/>
  <c r="Q97" i="12"/>
  <c r="Q96" i="12"/>
  <c r="Q95" i="12"/>
  <c r="Q94" i="12"/>
  <c r="Q151" i="12"/>
  <c r="Q130" i="12"/>
  <c r="Q108" i="12"/>
  <c r="S144" i="12" l="1"/>
  <c r="S137" i="12"/>
  <c r="S138" i="12"/>
  <c r="S146" i="12"/>
  <c r="S203" i="12"/>
  <c r="S207" i="12"/>
  <c r="S211" i="12"/>
  <c r="S194" i="12"/>
  <c r="S143" i="12"/>
  <c r="S201" i="12"/>
  <c r="S206" i="12"/>
  <c r="S202" i="12"/>
  <c r="S139" i="12"/>
  <c r="S173" i="12"/>
  <c r="S147" i="12"/>
  <c r="S151" i="12"/>
  <c r="S140" i="12"/>
  <c r="S148" i="12"/>
  <c r="S204" i="12"/>
  <c r="S208" i="12"/>
  <c r="S212" i="12"/>
  <c r="S164" i="12"/>
  <c r="S210" i="12"/>
  <c r="S145" i="12"/>
  <c r="S141" i="12"/>
  <c r="S149" i="12"/>
  <c r="S200" i="12"/>
  <c r="S142" i="12"/>
  <c r="S205" i="12"/>
  <c r="S209" i="12"/>
  <c r="S213" i="12"/>
  <c r="S180" i="12"/>
  <c r="S97" i="12"/>
  <c r="S107" i="12"/>
  <c r="S117" i="12"/>
  <c r="S96" i="12"/>
  <c r="S106" i="12"/>
  <c r="S101" i="12"/>
  <c r="S126" i="12"/>
  <c r="S100" i="12"/>
  <c r="S102" i="12"/>
  <c r="S105" i="12"/>
  <c r="S127" i="12"/>
  <c r="S108" i="12"/>
  <c r="S103" i="12"/>
  <c r="S123" i="12"/>
  <c r="S98" i="12"/>
  <c r="S130" i="12"/>
  <c r="S118" i="12"/>
  <c r="S119" i="12"/>
  <c r="S94" i="12"/>
  <c r="S95" i="12"/>
  <c r="S104" i="12"/>
  <c r="S124" i="12"/>
  <c r="D27" i="12"/>
  <c r="D26" i="12"/>
  <c r="P522" i="2"/>
  <c r="P514" i="2"/>
  <c r="P554" i="2"/>
  <c r="P506" i="2"/>
  <c r="P561" i="2"/>
  <c r="P557" i="2"/>
  <c r="P553" i="2"/>
  <c r="P549" i="2"/>
  <c r="P545" i="2"/>
  <c r="P541" i="2"/>
  <c r="P533" i="2"/>
  <c r="P525" i="2"/>
  <c r="P517" i="2"/>
  <c r="P509" i="2"/>
  <c r="P501" i="2"/>
  <c r="P489" i="2"/>
  <c r="P481" i="2"/>
  <c r="P473" i="2"/>
  <c r="P461" i="2"/>
  <c r="P457" i="2"/>
  <c r="P449" i="2"/>
  <c r="P445" i="2"/>
  <c r="P433" i="2"/>
  <c r="P429" i="2"/>
  <c r="P421" i="2"/>
  <c r="P413" i="2"/>
  <c r="P560" i="2"/>
  <c r="P556" i="2"/>
  <c r="P552" i="2"/>
  <c r="P548" i="2"/>
  <c r="P544" i="2"/>
  <c r="P540" i="2"/>
  <c r="P536" i="2"/>
  <c r="P532" i="2"/>
  <c r="P528" i="2"/>
  <c r="P520" i="2"/>
  <c r="P516" i="2"/>
  <c r="P512" i="2"/>
  <c r="P508" i="2"/>
  <c r="P504" i="2"/>
  <c r="P500" i="2"/>
  <c r="P492" i="2"/>
  <c r="P488" i="2"/>
  <c r="P484" i="2"/>
  <c r="P480" i="2"/>
  <c r="P476" i="2"/>
  <c r="P472" i="2"/>
  <c r="P468" i="2"/>
  <c r="P448" i="2"/>
  <c r="P440" i="2"/>
  <c r="P436" i="2"/>
  <c r="P432" i="2"/>
  <c r="P424" i="2"/>
  <c r="P400" i="2"/>
  <c r="P546" i="2"/>
  <c r="P538" i="2"/>
  <c r="P524" i="2"/>
  <c r="P526" i="2"/>
  <c r="P420" i="2"/>
  <c r="P405" i="2"/>
  <c r="P559" i="2"/>
  <c r="P551" i="2"/>
  <c r="P547" i="2"/>
  <c r="P543" i="2"/>
  <c r="P535" i="2"/>
  <c r="P531" i="2"/>
  <c r="P527" i="2"/>
  <c r="P523" i="2"/>
  <c r="P519" i="2"/>
  <c r="P515" i="2"/>
  <c r="P511" i="2"/>
  <c r="P507" i="2"/>
  <c r="P479" i="2"/>
  <c r="P467" i="2"/>
  <c r="P459" i="2"/>
  <c r="P451" i="2"/>
  <c r="P447" i="2"/>
  <c r="P443" i="2"/>
  <c r="P439" i="2"/>
  <c r="P423" i="2"/>
  <c r="P415" i="2"/>
  <c r="P407" i="2"/>
  <c r="P403" i="2"/>
  <c r="P399" i="2"/>
  <c r="P555" i="2"/>
  <c r="P539" i="2"/>
  <c r="P491" i="2"/>
  <c r="P487" i="2"/>
  <c r="P475" i="2"/>
  <c r="P518" i="2"/>
  <c r="P460" i="2"/>
  <c r="P437" i="2"/>
  <c r="P417" i="2"/>
  <c r="P530" i="2"/>
  <c r="P494" i="2"/>
  <c r="P486" i="2"/>
  <c r="P478" i="2"/>
  <c r="P470" i="2"/>
  <c r="P462" i="2"/>
  <c r="P438" i="2"/>
  <c r="P434" i="2"/>
  <c r="P430" i="2"/>
  <c r="P426" i="2"/>
  <c r="P422" i="2"/>
  <c r="P418" i="2"/>
  <c r="P414" i="2"/>
  <c r="P410" i="2"/>
  <c r="P406" i="2"/>
  <c r="P398" i="2"/>
  <c r="R108" i="12"/>
  <c r="R151" i="12"/>
  <c r="Q214" i="12"/>
  <c r="I78" i="8"/>
  <c r="B5" i="12"/>
  <c r="M38" i="14"/>
  <c r="A39" i="14"/>
  <c r="A40" i="14"/>
  <c r="A41" i="14"/>
  <c r="A42" i="14"/>
  <c r="A43" i="14"/>
  <c r="A44" i="14"/>
  <c r="A45" i="14"/>
  <c r="A46" i="14"/>
  <c r="A47" i="14"/>
  <c r="A48" i="14"/>
  <c r="A49" i="14"/>
  <c r="A50" i="14"/>
  <c r="A51" i="14"/>
  <c r="A52" i="14"/>
  <c r="A53" i="14"/>
  <c r="A38" i="14"/>
  <c r="C38" i="14"/>
  <c r="C52" i="14" s="1"/>
  <c r="D38" i="14"/>
  <c r="D49" i="14" s="1"/>
  <c r="E38" i="14"/>
  <c r="E49" i="14" s="1"/>
  <c r="F38" i="14"/>
  <c r="F51" i="14" s="1"/>
  <c r="G38" i="14"/>
  <c r="G40" i="14" s="1"/>
  <c r="H38" i="14"/>
  <c r="H53" i="14" s="1"/>
  <c r="I38" i="14"/>
  <c r="I50" i="14" s="1"/>
  <c r="J38" i="14"/>
  <c r="J47" i="14" s="1"/>
  <c r="K38" i="14"/>
  <c r="K50" i="14" s="1"/>
  <c r="L38" i="14"/>
  <c r="L49" i="14" s="1"/>
  <c r="B38" i="14"/>
  <c r="B50" i="14" s="1"/>
  <c r="S214" i="12" l="1"/>
  <c r="F53" i="14"/>
  <c r="B49" i="14"/>
  <c r="E48" i="14"/>
  <c r="G53" i="14"/>
  <c r="J44" i="14"/>
  <c r="B52" i="14"/>
  <c r="J52" i="14"/>
  <c r="J49" i="14"/>
  <c r="C49" i="14"/>
  <c r="L51" i="14"/>
  <c r="E51" i="14"/>
  <c r="D51" i="14"/>
  <c r="H50" i="14"/>
  <c r="F40" i="14"/>
  <c r="J41" i="14"/>
  <c r="E40" i="14"/>
  <c r="E53" i="14"/>
  <c r="H52" i="14"/>
  <c r="C51" i="14"/>
  <c r="F50" i="14"/>
  <c r="I49" i="14"/>
  <c r="L48" i="14"/>
  <c r="D48" i="14"/>
  <c r="J46" i="14"/>
  <c r="L40" i="14"/>
  <c r="D40" i="14"/>
  <c r="I52" i="14"/>
  <c r="G50" i="14"/>
  <c r="L53" i="14"/>
  <c r="D53" i="14"/>
  <c r="G52" i="14"/>
  <c r="J51" i="14"/>
  <c r="B51" i="14"/>
  <c r="E50" i="14"/>
  <c r="H49" i="14"/>
  <c r="C48" i="14"/>
  <c r="J43" i="14"/>
  <c r="K40" i="14"/>
  <c r="C40" i="14"/>
  <c r="C53" i="14"/>
  <c r="F52" i="14"/>
  <c r="I51" i="14"/>
  <c r="L50" i="14"/>
  <c r="D50" i="14"/>
  <c r="G49" i="14"/>
  <c r="J48" i="14"/>
  <c r="B48" i="14"/>
  <c r="J40" i="14"/>
  <c r="B40" i="14"/>
  <c r="J53" i="14"/>
  <c r="B53" i="14"/>
  <c r="E52" i="14"/>
  <c r="H51" i="14"/>
  <c r="C50" i="14"/>
  <c r="F49" i="14"/>
  <c r="I48" i="14"/>
  <c r="J45" i="14"/>
  <c r="I40" i="14"/>
  <c r="I53" i="14"/>
  <c r="L52" i="14"/>
  <c r="D52" i="14"/>
  <c r="G51" i="14"/>
  <c r="J50" i="14"/>
  <c r="H48" i="14"/>
  <c r="J42" i="14"/>
  <c r="H40" i="14"/>
  <c r="G48" i="14"/>
  <c r="R150" i="12"/>
  <c r="R149" i="12"/>
  <c r="R148" i="12"/>
  <c r="R147" i="12"/>
  <c r="R146" i="12"/>
  <c r="R145" i="12"/>
  <c r="R144" i="12"/>
  <c r="R143" i="12"/>
  <c r="R142" i="12"/>
  <c r="R141" i="12"/>
  <c r="R140" i="12"/>
  <c r="R137" i="12"/>
  <c r="R107" i="12"/>
  <c r="R106" i="12"/>
  <c r="R105" i="12"/>
  <c r="R104" i="12"/>
  <c r="R103" i="12"/>
  <c r="R102" i="12"/>
  <c r="R100" i="12"/>
  <c r="R98" i="12"/>
  <c r="R97" i="12"/>
  <c r="R95" i="12"/>
  <c r="R94" i="12"/>
  <c r="Q129" i="12"/>
  <c r="Q128" i="12"/>
  <c r="Q125" i="12"/>
  <c r="Q122" i="12"/>
  <c r="Q121" i="12"/>
  <c r="Q120" i="12"/>
  <c r="Q116" i="12"/>
  <c r="S122" i="12" l="1"/>
  <c r="S128" i="12"/>
  <c r="S120" i="12"/>
  <c r="S121" i="12"/>
  <c r="S125" i="12"/>
  <c r="S129" i="12"/>
  <c r="S116" i="12"/>
  <c r="M50" i="14"/>
  <c r="F17" i="14" s="1"/>
  <c r="M40" i="14"/>
  <c r="F8" i="14" s="1"/>
  <c r="R99" i="12"/>
  <c r="N397" i="2" l="1"/>
  <c r="M397" i="2"/>
  <c r="C29" i="2"/>
  <c r="I29" i="2" s="1"/>
  <c r="G29" i="2"/>
  <c r="J29" i="2" s="1"/>
  <c r="H29" i="2"/>
  <c r="I533" i="2"/>
  <c r="I536" i="2"/>
  <c r="I537" i="2"/>
  <c r="I538" i="2"/>
  <c r="I525" i="2"/>
  <c r="I526" i="2"/>
  <c r="I494" i="2"/>
  <c r="I495" i="2"/>
  <c r="I500" i="2"/>
  <c r="I503" i="2"/>
  <c r="I504" i="2"/>
  <c r="I505" i="2"/>
  <c r="I511" i="2"/>
  <c r="I514" i="2"/>
  <c r="I515" i="2"/>
  <c r="I517" i="2"/>
  <c r="I492" i="2"/>
  <c r="I459" i="2"/>
  <c r="I460" i="2"/>
  <c r="I461" i="2"/>
  <c r="I462" i="2"/>
  <c r="I467" i="2"/>
  <c r="I470" i="2"/>
  <c r="I471" i="2"/>
  <c r="I472" i="2"/>
  <c r="I473" i="2"/>
  <c r="I478" i="2"/>
  <c r="I481" i="2"/>
  <c r="I482" i="2"/>
  <c r="I423" i="2"/>
  <c r="I426" i="2"/>
  <c r="I427" i="2"/>
  <c r="I428" i="2"/>
  <c r="I429" i="2"/>
  <c r="I434" i="2"/>
  <c r="I437" i="2"/>
  <c r="I438" i="2"/>
  <c r="I439" i="2"/>
  <c r="I440" i="2"/>
  <c r="I445" i="2"/>
  <c r="I448" i="2"/>
  <c r="I449" i="2"/>
  <c r="I451" i="2"/>
  <c r="I456" i="2"/>
  <c r="I415" i="2"/>
  <c r="I416" i="2"/>
  <c r="I390" i="2"/>
  <c r="I393" i="2"/>
  <c r="I394" i="2"/>
  <c r="I395" i="2"/>
  <c r="I396" i="2"/>
  <c r="I401" i="2"/>
  <c r="I404" i="2"/>
  <c r="I405" i="2"/>
  <c r="I406" i="2"/>
  <c r="I407" i="2"/>
  <c r="I350" i="2"/>
  <c r="I352" i="2"/>
  <c r="I357" i="2"/>
  <c r="I360" i="2"/>
  <c r="I361" i="2"/>
  <c r="I362" i="2"/>
  <c r="I363" i="2"/>
  <c r="I368" i="2"/>
  <c r="I371" i="2"/>
  <c r="I372" i="2"/>
  <c r="I373" i="2"/>
  <c r="I374" i="2"/>
  <c r="I379" i="2"/>
  <c r="I382" i="2"/>
  <c r="I383" i="2"/>
  <c r="I346" i="2"/>
  <c r="I319" i="2"/>
  <c r="I324" i="2"/>
  <c r="I327" i="2"/>
  <c r="I328" i="2"/>
  <c r="I329" i="2"/>
  <c r="I330" i="2"/>
  <c r="I335" i="2"/>
  <c r="I338" i="2"/>
  <c r="I339" i="2"/>
  <c r="I340" i="2"/>
  <c r="I341" i="2"/>
  <c r="I316" i="2"/>
  <c r="I283" i="2"/>
  <c r="I284" i="2"/>
  <c r="I286" i="2"/>
  <c r="I291" i="2"/>
  <c r="I294" i="2"/>
  <c r="I295" i="2"/>
  <c r="I296" i="2"/>
  <c r="I297" i="2"/>
  <c r="I302" i="2"/>
  <c r="I305" i="2"/>
  <c r="I306" i="2"/>
  <c r="I307" i="2"/>
  <c r="I280" i="2"/>
  <c r="I274" i="2"/>
  <c r="I275" i="2"/>
  <c r="I247" i="2"/>
  <c r="I250" i="2"/>
  <c r="I251" i="2"/>
  <c r="I253" i="2"/>
  <c r="I258" i="2"/>
  <c r="I261" i="2"/>
  <c r="I262" i="2"/>
  <c r="C263" i="2"/>
  <c r="I263" i="2"/>
  <c r="C264" i="2"/>
  <c r="I264" i="2"/>
  <c r="C265" i="2"/>
  <c r="C266" i="2"/>
  <c r="C267" i="2"/>
  <c r="I269" i="2"/>
  <c r="I214" i="2"/>
  <c r="I217" i="2"/>
  <c r="I218" i="2"/>
  <c r="I220" i="2"/>
  <c r="I225" i="2"/>
  <c r="I228" i="2"/>
  <c r="I229" i="2"/>
  <c r="I230" i="2"/>
  <c r="I231" i="2"/>
  <c r="I232" i="2"/>
  <c r="I236" i="2"/>
  <c r="I237" i="2"/>
  <c r="I238" i="2"/>
  <c r="I239" i="2"/>
  <c r="G181" i="2"/>
  <c r="J181" i="2" s="1"/>
  <c r="H181" i="2"/>
  <c r="G182" i="2"/>
  <c r="J182" i="2" s="1"/>
  <c r="H182" i="2"/>
  <c r="G183" i="2"/>
  <c r="J183" i="2" s="1"/>
  <c r="H183" i="2"/>
  <c r="G184" i="2"/>
  <c r="J184" i="2" s="1"/>
  <c r="H184" i="2"/>
  <c r="G185" i="2"/>
  <c r="J185" i="2" s="1"/>
  <c r="H185" i="2"/>
  <c r="G186" i="2"/>
  <c r="J186" i="2" s="1"/>
  <c r="H186" i="2"/>
  <c r="G187" i="2"/>
  <c r="J187" i="2" s="1"/>
  <c r="H187" i="2"/>
  <c r="G188" i="2"/>
  <c r="J188" i="2" s="1"/>
  <c r="H188" i="2"/>
  <c r="G189" i="2"/>
  <c r="J189" i="2" s="1"/>
  <c r="H189" i="2"/>
  <c r="G190" i="2"/>
  <c r="J190" i="2" s="1"/>
  <c r="H190" i="2"/>
  <c r="G191" i="2"/>
  <c r="J191" i="2" s="1"/>
  <c r="H191" i="2"/>
  <c r="G192" i="2"/>
  <c r="J192" i="2" s="1"/>
  <c r="H192" i="2"/>
  <c r="G193" i="2"/>
  <c r="J193" i="2" s="1"/>
  <c r="H193" i="2"/>
  <c r="G194" i="2"/>
  <c r="J194" i="2" s="1"/>
  <c r="H194" i="2"/>
  <c r="G195" i="2"/>
  <c r="J195" i="2" s="1"/>
  <c r="H195" i="2"/>
  <c r="G196" i="2"/>
  <c r="J196" i="2" s="1"/>
  <c r="H196" i="2"/>
  <c r="G197" i="2"/>
  <c r="J197" i="2" s="1"/>
  <c r="H197" i="2"/>
  <c r="G198" i="2"/>
  <c r="J198" i="2" s="1"/>
  <c r="H198" i="2"/>
  <c r="G199" i="2"/>
  <c r="J199" i="2" s="1"/>
  <c r="H199" i="2"/>
  <c r="G200" i="2"/>
  <c r="J200" i="2" s="1"/>
  <c r="H200" i="2"/>
  <c r="G201" i="2"/>
  <c r="J201" i="2" s="1"/>
  <c r="H201" i="2"/>
  <c r="G202" i="2"/>
  <c r="J202" i="2" s="1"/>
  <c r="H202" i="2"/>
  <c r="G203" i="2"/>
  <c r="J203" i="2" s="1"/>
  <c r="H203" i="2"/>
  <c r="G204" i="2"/>
  <c r="J204" i="2" s="1"/>
  <c r="H204" i="2"/>
  <c r="G205" i="2"/>
  <c r="J205" i="2" s="1"/>
  <c r="H205" i="2"/>
  <c r="G206" i="2"/>
  <c r="J206" i="2" s="1"/>
  <c r="H206" i="2"/>
  <c r="G177" i="2"/>
  <c r="J177" i="2" s="1"/>
  <c r="H177" i="2"/>
  <c r="G178" i="2"/>
  <c r="J178" i="2" s="1"/>
  <c r="H178" i="2"/>
  <c r="G144" i="2"/>
  <c r="J144" i="2" s="1"/>
  <c r="H144" i="2"/>
  <c r="G145" i="2"/>
  <c r="J145" i="2" s="1"/>
  <c r="H145" i="2"/>
  <c r="G146" i="2"/>
  <c r="J146" i="2" s="1"/>
  <c r="H146" i="2"/>
  <c r="G147" i="2"/>
  <c r="J147" i="2" s="1"/>
  <c r="H147" i="2"/>
  <c r="G148" i="2"/>
  <c r="J148" i="2" s="1"/>
  <c r="H148" i="2"/>
  <c r="G149" i="2"/>
  <c r="J149" i="2" s="1"/>
  <c r="H149" i="2"/>
  <c r="G150" i="2"/>
  <c r="J150" i="2" s="1"/>
  <c r="H150" i="2"/>
  <c r="G151" i="2"/>
  <c r="J151" i="2" s="1"/>
  <c r="H151" i="2"/>
  <c r="G152" i="2"/>
  <c r="J152" i="2" s="1"/>
  <c r="H152" i="2"/>
  <c r="G153" i="2"/>
  <c r="J153" i="2" s="1"/>
  <c r="H153" i="2"/>
  <c r="G154" i="2"/>
  <c r="J154" i="2" s="1"/>
  <c r="H154" i="2"/>
  <c r="G155" i="2"/>
  <c r="J155" i="2" s="1"/>
  <c r="H155" i="2"/>
  <c r="G156" i="2"/>
  <c r="J156" i="2" s="1"/>
  <c r="H156" i="2"/>
  <c r="G157" i="2"/>
  <c r="J157" i="2" s="1"/>
  <c r="H157" i="2"/>
  <c r="G158" i="2"/>
  <c r="J158" i="2" s="1"/>
  <c r="H158" i="2"/>
  <c r="G159" i="2"/>
  <c r="J159" i="2" s="1"/>
  <c r="H159" i="2"/>
  <c r="G160" i="2"/>
  <c r="J160" i="2" s="1"/>
  <c r="H160" i="2"/>
  <c r="G161" i="2"/>
  <c r="J161" i="2" s="1"/>
  <c r="H161" i="2"/>
  <c r="G162" i="2"/>
  <c r="J162" i="2" s="1"/>
  <c r="H162" i="2"/>
  <c r="G163" i="2"/>
  <c r="J163" i="2" s="1"/>
  <c r="H163" i="2"/>
  <c r="G164" i="2"/>
  <c r="J164" i="2" s="1"/>
  <c r="H164" i="2"/>
  <c r="G165" i="2"/>
  <c r="J165" i="2" s="1"/>
  <c r="H165" i="2"/>
  <c r="G166" i="2"/>
  <c r="J166" i="2" s="1"/>
  <c r="H166" i="2"/>
  <c r="G167" i="2"/>
  <c r="J167" i="2" s="1"/>
  <c r="H167" i="2"/>
  <c r="G168" i="2"/>
  <c r="J168" i="2" s="1"/>
  <c r="H168" i="2"/>
  <c r="G169" i="2"/>
  <c r="J169" i="2" s="1"/>
  <c r="H169" i="2"/>
  <c r="G141" i="2"/>
  <c r="J141" i="2" s="1"/>
  <c r="H141" i="2"/>
  <c r="G107" i="2"/>
  <c r="J107" i="2" s="1"/>
  <c r="H107" i="2"/>
  <c r="G108" i="2"/>
  <c r="J108" i="2" s="1"/>
  <c r="H108" i="2"/>
  <c r="G109" i="2"/>
  <c r="J109" i="2" s="1"/>
  <c r="H109" i="2"/>
  <c r="G110" i="2"/>
  <c r="J110" i="2" s="1"/>
  <c r="H110" i="2"/>
  <c r="G111" i="2"/>
  <c r="J111" i="2" s="1"/>
  <c r="H111" i="2"/>
  <c r="G112" i="2"/>
  <c r="J112" i="2" s="1"/>
  <c r="H112" i="2"/>
  <c r="G113" i="2"/>
  <c r="J113" i="2" s="1"/>
  <c r="H113" i="2"/>
  <c r="G114" i="2"/>
  <c r="J114" i="2" s="1"/>
  <c r="H114" i="2"/>
  <c r="G115" i="2"/>
  <c r="J115" i="2" s="1"/>
  <c r="H115" i="2"/>
  <c r="G116" i="2"/>
  <c r="J116" i="2" s="1"/>
  <c r="H116" i="2"/>
  <c r="G117" i="2"/>
  <c r="J117" i="2" s="1"/>
  <c r="H117" i="2"/>
  <c r="G118" i="2"/>
  <c r="J118" i="2" s="1"/>
  <c r="H118" i="2"/>
  <c r="G119" i="2"/>
  <c r="J119" i="2" s="1"/>
  <c r="H119" i="2"/>
  <c r="G120" i="2"/>
  <c r="J120" i="2" s="1"/>
  <c r="H120" i="2"/>
  <c r="G121" i="2"/>
  <c r="J121" i="2" s="1"/>
  <c r="H121" i="2"/>
  <c r="G122" i="2"/>
  <c r="J122" i="2" s="1"/>
  <c r="H122" i="2"/>
  <c r="G123" i="2"/>
  <c r="J123" i="2" s="1"/>
  <c r="H123" i="2"/>
  <c r="G124" i="2"/>
  <c r="J124" i="2" s="1"/>
  <c r="H124" i="2"/>
  <c r="G125" i="2"/>
  <c r="J125" i="2" s="1"/>
  <c r="H125" i="2"/>
  <c r="G126" i="2"/>
  <c r="J126" i="2" s="1"/>
  <c r="H126" i="2"/>
  <c r="G127" i="2"/>
  <c r="J127" i="2" s="1"/>
  <c r="H127" i="2"/>
  <c r="G128" i="2"/>
  <c r="J128" i="2" s="1"/>
  <c r="H128" i="2"/>
  <c r="G129" i="2"/>
  <c r="J129" i="2" s="1"/>
  <c r="H129" i="2"/>
  <c r="G130" i="2"/>
  <c r="J130" i="2" s="1"/>
  <c r="H130" i="2"/>
  <c r="G131" i="2"/>
  <c r="J131" i="2" s="1"/>
  <c r="H131" i="2"/>
  <c r="G132" i="2"/>
  <c r="J132" i="2" s="1"/>
  <c r="H132" i="2"/>
  <c r="G104" i="2"/>
  <c r="J104" i="2" s="1"/>
  <c r="H104" i="2"/>
  <c r="G70" i="2"/>
  <c r="J70" i="2" s="1"/>
  <c r="H70" i="2"/>
  <c r="G71" i="2"/>
  <c r="J71" i="2" s="1"/>
  <c r="H71" i="2"/>
  <c r="G72" i="2"/>
  <c r="J72" i="2" s="1"/>
  <c r="H72" i="2"/>
  <c r="G73" i="2"/>
  <c r="J73" i="2" s="1"/>
  <c r="H73" i="2"/>
  <c r="G74" i="2"/>
  <c r="J74" i="2" s="1"/>
  <c r="H74" i="2"/>
  <c r="G75" i="2"/>
  <c r="J75" i="2" s="1"/>
  <c r="H75" i="2"/>
  <c r="G76" i="2"/>
  <c r="J76" i="2" s="1"/>
  <c r="H76" i="2"/>
  <c r="G77" i="2"/>
  <c r="J77" i="2" s="1"/>
  <c r="H77" i="2"/>
  <c r="G78" i="2"/>
  <c r="J78" i="2" s="1"/>
  <c r="H78" i="2"/>
  <c r="G79" i="2"/>
  <c r="J79" i="2" s="1"/>
  <c r="H79" i="2"/>
  <c r="G80" i="2"/>
  <c r="J80" i="2" s="1"/>
  <c r="H80" i="2"/>
  <c r="G81" i="2"/>
  <c r="J81" i="2" s="1"/>
  <c r="H81" i="2"/>
  <c r="G82" i="2"/>
  <c r="J82" i="2" s="1"/>
  <c r="H82" i="2"/>
  <c r="G83" i="2"/>
  <c r="J83" i="2" s="1"/>
  <c r="H83" i="2"/>
  <c r="G84" i="2"/>
  <c r="J84" i="2" s="1"/>
  <c r="H84" i="2"/>
  <c r="G85" i="2"/>
  <c r="J85" i="2" s="1"/>
  <c r="H85" i="2"/>
  <c r="G86" i="2"/>
  <c r="J86" i="2" s="1"/>
  <c r="H86" i="2"/>
  <c r="G87" i="2"/>
  <c r="J87" i="2" s="1"/>
  <c r="H87" i="2"/>
  <c r="C88" i="2"/>
  <c r="I88" i="2" s="1"/>
  <c r="G88" i="2"/>
  <c r="J88" i="2" s="1"/>
  <c r="H88" i="2"/>
  <c r="C89" i="2"/>
  <c r="I89" i="2" s="1"/>
  <c r="G89" i="2"/>
  <c r="J89" i="2" s="1"/>
  <c r="H89" i="2"/>
  <c r="C90" i="2"/>
  <c r="I90" i="2" s="1"/>
  <c r="G90" i="2"/>
  <c r="J90" i="2" s="1"/>
  <c r="H90" i="2"/>
  <c r="C91" i="2"/>
  <c r="I91" i="2" s="1"/>
  <c r="G91" i="2"/>
  <c r="J91" i="2" s="1"/>
  <c r="H91" i="2"/>
  <c r="C92" i="2"/>
  <c r="I92" i="2" s="1"/>
  <c r="G92" i="2"/>
  <c r="J92" i="2" s="1"/>
  <c r="H92" i="2"/>
  <c r="C93" i="2"/>
  <c r="I93" i="2" s="1"/>
  <c r="G93" i="2"/>
  <c r="J93" i="2" s="1"/>
  <c r="H93" i="2"/>
  <c r="C94" i="2"/>
  <c r="I94" i="2" s="1"/>
  <c r="G94" i="2"/>
  <c r="J94" i="2" s="1"/>
  <c r="H94" i="2"/>
  <c r="C95" i="2"/>
  <c r="I95" i="2" s="1"/>
  <c r="G95" i="2"/>
  <c r="J95" i="2" s="1"/>
  <c r="H95" i="2"/>
  <c r="G33" i="2"/>
  <c r="J33" i="2" s="1"/>
  <c r="H33" i="2"/>
  <c r="G34" i="2"/>
  <c r="J34" i="2" s="1"/>
  <c r="H34" i="2"/>
  <c r="G35" i="2"/>
  <c r="J35" i="2" s="1"/>
  <c r="H35" i="2"/>
  <c r="G36" i="2"/>
  <c r="J36" i="2" s="1"/>
  <c r="H36" i="2"/>
  <c r="G37" i="2"/>
  <c r="J37" i="2" s="1"/>
  <c r="H37" i="2"/>
  <c r="G38" i="2"/>
  <c r="J38" i="2" s="1"/>
  <c r="H38" i="2"/>
  <c r="G39" i="2"/>
  <c r="J39" i="2" s="1"/>
  <c r="H39" i="2"/>
  <c r="G40" i="2"/>
  <c r="J40" i="2" s="1"/>
  <c r="H40" i="2"/>
  <c r="G41" i="2"/>
  <c r="J41" i="2" s="1"/>
  <c r="H41" i="2"/>
  <c r="G42" i="2"/>
  <c r="J42" i="2" s="1"/>
  <c r="H42" i="2"/>
  <c r="G43" i="2"/>
  <c r="J43" i="2" s="1"/>
  <c r="H43" i="2"/>
  <c r="G44" i="2"/>
  <c r="J44" i="2" s="1"/>
  <c r="H44" i="2"/>
  <c r="G45" i="2"/>
  <c r="J45" i="2" s="1"/>
  <c r="H45" i="2"/>
  <c r="G46" i="2"/>
  <c r="J46" i="2" s="1"/>
  <c r="H46" i="2"/>
  <c r="G47" i="2"/>
  <c r="J47" i="2" s="1"/>
  <c r="H47" i="2"/>
  <c r="G48" i="2"/>
  <c r="J48" i="2" s="1"/>
  <c r="H48" i="2"/>
  <c r="G49" i="2"/>
  <c r="J49" i="2" s="1"/>
  <c r="H49" i="2"/>
  <c r="G50" i="2"/>
  <c r="J50" i="2" s="1"/>
  <c r="H50" i="2"/>
  <c r="G51" i="2"/>
  <c r="J51" i="2" s="1"/>
  <c r="H51" i="2"/>
  <c r="G52" i="2"/>
  <c r="J52" i="2" s="1"/>
  <c r="H52" i="2"/>
  <c r="G53" i="2"/>
  <c r="J53" i="2" s="1"/>
  <c r="H53" i="2"/>
  <c r="G54" i="2"/>
  <c r="J54" i="2" s="1"/>
  <c r="H54" i="2"/>
  <c r="G55" i="2"/>
  <c r="J55" i="2" s="1"/>
  <c r="H55" i="2"/>
  <c r="G56" i="2"/>
  <c r="J56" i="2" s="1"/>
  <c r="H56" i="2"/>
  <c r="G57" i="2"/>
  <c r="J57" i="2" s="1"/>
  <c r="H57" i="2"/>
  <c r="G58" i="2"/>
  <c r="J58" i="2" s="1"/>
  <c r="H58" i="2"/>
  <c r="G59" i="2"/>
  <c r="J59" i="2" s="1"/>
  <c r="H59" i="2"/>
  <c r="G60" i="2"/>
  <c r="J60" i="2" s="1"/>
  <c r="H60" i="2"/>
  <c r="G61" i="2"/>
  <c r="J61" i="2" s="1"/>
  <c r="H61" i="2"/>
  <c r="G62" i="2"/>
  <c r="J62" i="2" s="1"/>
  <c r="H62" i="2"/>
  <c r="G63" i="2"/>
  <c r="J63" i="2" s="1"/>
  <c r="H63" i="2"/>
  <c r="G64" i="2"/>
  <c r="J64" i="2" s="1"/>
  <c r="H64" i="2"/>
  <c r="G65" i="2"/>
  <c r="J65" i="2" s="1"/>
  <c r="H65" i="2"/>
  <c r="G66" i="2"/>
  <c r="J66" i="2" s="1"/>
  <c r="H66" i="2"/>
  <c r="G67" i="2"/>
  <c r="J67" i="2" s="1"/>
  <c r="H67" i="2"/>
  <c r="G68" i="2"/>
  <c r="J68" i="2" s="1"/>
  <c r="H68" i="2"/>
  <c r="C30" i="2"/>
  <c r="I30" i="2" s="1"/>
  <c r="G30" i="2"/>
  <c r="J30" i="2" s="1"/>
  <c r="H30" i="2"/>
  <c r="B65" i="8"/>
  <c r="B64" i="8"/>
  <c r="B73" i="8"/>
  <c r="B72" i="8"/>
  <c r="B70" i="8"/>
  <c r="B69" i="8"/>
  <c r="B67" i="8"/>
  <c r="B66" i="8"/>
  <c r="B68" i="8"/>
  <c r="B55" i="8"/>
  <c r="B53" i="8"/>
  <c r="B52" i="8"/>
  <c r="B51" i="8"/>
  <c r="B58" i="8"/>
  <c r="B50" i="8"/>
  <c r="B54" i="8"/>
  <c r="B56" i="8"/>
  <c r="B57" i="8"/>
  <c r="L28" i="8"/>
  <c r="L29" i="8"/>
  <c r="L30" i="8"/>
  <c r="L31" i="8"/>
  <c r="L27" i="8"/>
  <c r="L26" i="8"/>
  <c r="L25" i="8"/>
  <c r="C26" i="8"/>
  <c r="C27" i="8"/>
  <c r="C28" i="8"/>
  <c r="C29" i="8"/>
  <c r="C30" i="8"/>
  <c r="C31" i="8"/>
  <c r="C25" i="8"/>
  <c r="D25" i="8"/>
  <c r="D26" i="8"/>
  <c r="D28" i="8"/>
  <c r="D29" i="8"/>
  <c r="D30" i="8"/>
  <c r="D31" i="8"/>
  <c r="D27" i="8"/>
  <c r="K26" i="8"/>
  <c r="K28" i="8"/>
  <c r="K29" i="8"/>
  <c r="K30" i="8"/>
  <c r="K31" i="8"/>
  <c r="K27" i="8"/>
  <c r="K25" i="8"/>
  <c r="J26" i="8"/>
  <c r="J25" i="8"/>
  <c r="J27" i="8"/>
  <c r="J28" i="8"/>
  <c r="J29" i="8"/>
  <c r="J30" i="8"/>
  <c r="J31" i="8"/>
  <c r="I28" i="8"/>
  <c r="I29" i="8"/>
  <c r="I30" i="8"/>
  <c r="I31" i="8"/>
  <c r="I27" i="8"/>
  <c r="I26" i="8"/>
  <c r="I25" i="8"/>
  <c r="H28" i="8"/>
  <c r="H29" i="8"/>
  <c r="H30" i="8"/>
  <c r="H31" i="8"/>
  <c r="H27" i="8"/>
  <c r="H26" i="8"/>
  <c r="H25" i="8"/>
  <c r="G29" i="8"/>
  <c r="G30" i="8"/>
  <c r="G31" i="8"/>
  <c r="G27" i="8"/>
  <c r="G26" i="8"/>
  <c r="G25" i="8"/>
  <c r="F26" i="8"/>
  <c r="F25" i="8"/>
  <c r="F27" i="8"/>
  <c r="F28" i="8"/>
  <c r="F29" i="8"/>
  <c r="F30" i="8"/>
  <c r="F31" i="8"/>
  <c r="E26" i="8"/>
  <c r="E27" i="8"/>
  <c r="E28" i="8"/>
  <c r="E29" i="8"/>
  <c r="E30" i="8"/>
  <c r="E31" i="8"/>
  <c r="E25" i="8"/>
  <c r="B26" i="8"/>
  <c r="B27" i="8"/>
  <c r="B28" i="8"/>
  <c r="B29" i="8"/>
  <c r="B30" i="8"/>
  <c r="B31" i="8"/>
  <c r="B25" i="8"/>
  <c r="I527" i="2"/>
  <c r="I522" i="2"/>
  <c r="I493" i="2"/>
  <c r="I489" i="2"/>
  <c r="I484" i="2"/>
  <c r="I418" i="2"/>
  <c r="I412" i="2"/>
  <c r="I385" i="2"/>
  <c r="I349" i="2"/>
  <c r="I317" i="2"/>
  <c r="I313" i="2"/>
  <c r="I308" i="2"/>
  <c r="I242" i="2"/>
  <c r="I272" i="2"/>
  <c r="I273" i="2"/>
  <c r="I240" i="2"/>
  <c r="I241" i="2"/>
  <c r="I209" i="2"/>
  <c r="G24" i="2"/>
  <c r="J24" i="2" s="1"/>
  <c r="H24" i="2"/>
  <c r="G25" i="2"/>
  <c r="J25" i="2" s="1"/>
  <c r="H25" i="2"/>
  <c r="G26" i="2"/>
  <c r="J26" i="2" s="1"/>
  <c r="H26" i="2"/>
  <c r="G27" i="2"/>
  <c r="J27" i="2" s="1"/>
  <c r="H27" i="2"/>
  <c r="G28" i="2"/>
  <c r="J28" i="2" s="1"/>
  <c r="H28" i="2"/>
  <c r="G31" i="2"/>
  <c r="J31" i="2" s="1"/>
  <c r="H31" i="2"/>
  <c r="G32" i="2"/>
  <c r="J32" i="2" s="1"/>
  <c r="H32" i="2"/>
  <c r="G69" i="2"/>
  <c r="J69" i="2" s="1"/>
  <c r="H69" i="2"/>
  <c r="G96" i="2"/>
  <c r="J96" i="2" s="1"/>
  <c r="H96" i="2"/>
  <c r="G97" i="2"/>
  <c r="J97" i="2" s="1"/>
  <c r="H97" i="2"/>
  <c r="G98" i="2"/>
  <c r="J98" i="2" s="1"/>
  <c r="H98" i="2"/>
  <c r="G99" i="2"/>
  <c r="J99" i="2" s="1"/>
  <c r="H99" i="2"/>
  <c r="G100" i="2"/>
  <c r="J100" i="2" s="1"/>
  <c r="H100" i="2"/>
  <c r="G101" i="2"/>
  <c r="J101" i="2" s="1"/>
  <c r="H101" i="2"/>
  <c r="G102" i="2"/>
  <c r="J102" i="2" s="1"/>
  <c r="H102" i="2"/>
  <c r="G103" i="2"/>
  <c r="J103" i="2" s="1"/>
  <c r="H103" i="2"/>
  <c r="G105" i="2"/>
  <c r="J105" i="2" s="1"/>
  <c r="H105" i="2"/>
  <c r="G106" i="2"/>
  <c r="J106" i="2" s="1"/>
  <c r="H106" i="2"/>
  <c r="G133" i="2"/>
  <c r="J133" i="2" s="1"/>
  <c r="H133" i="2"/>
  <c r="G134" i="2"/>
  <c r="J134" i="2" s="1"/>
  <c r="H134" i="2"/>
  <c r="G135" i="2"/>
  <c r="J135" i="2" s="1"/>
  <c r="H135" i="2"/>
  <c r="G136" i="2"/>
  <c r="J136" i="2" s="1"/>
  <c r="H136" i="2"/>
  <c r="G137" i="2"/>
  <c r="J137" i="2" s="1"/>
  <c r="H137" i="2"/>
  <c r="G138" i="2"/>
  <c r="J138" i="2" s="1"/>
  <c r="H138" i="2"/>
  <c r="G139" i="2"/>
  <c r="J139" i="2" s="1"/>
  <c r="H139" i="2"/>
  <c r="G140" i="2"/>
  <c r="J140" i="2" s="1"/>
  <c r="H140" i="2"/>
  <c r="G142" i="2"/>
  <c r="J142" i="2" s="1"/>
  <c r="H142" i="2"/>
  <c r="G143" i="2"/>
  <c r="J143" i="2" s="1"/>
  <c r="H143" i="2"/>
  <c r="G170" i="2"/>
  <c r="J170" i="2" s="1"/>
  <c r="H170" i="2"/>
  <c r="G171" i="2"/>
  <c r="J171" i="2" s="1"/>
  <c r="H171" i="2"/>
  <c r="G172" i="2"/>
  <c r="J172" i="2" s="1"/>
  <c r="H172" i="2"/>
  <c r="G173" i="2"/>
  <c r="J173" i="2" s="1"/>
  <c r="H173" i="2"/>
  <c r="G174" i="2"/>
  <c r="J174" i="2" s="1"/>
  <c r="H174" i="2"/>
  <c r="G175" i="2"/>
  <c r="J175" i="2" s="1"/>
  <c r="H175" i="2"/>
  <c r="G176" i="2"/>
  <c r="J176" i="2" s="1"/>
  <c r="H176" i="2"/>
  <c r="G179" i="2"/>
  <c r="J179" i="2" s="1"/>
  <c r="H179" i="2"/>
  <c r="G180" i="2"/>
  <c r="J180" i="2" s="1"/>
  <c r="H180" i="2"/>
  <c r="G207" i="2"/>
  <c r="J207" i="2" s="1"/>
  <c r="H207" i="2"/>
  <c r="G208" i="2"/>
  <c r="J208" i="2" s="1"/>
  <c r="H208" i="2"/>
  <c r="H23" i="2"/>
  <c r="G23" i="2"/>
  <c r="J23" i="2" s="1"/>
  <c r="M28" i="6"/>
  <c r="U733" i="2" l="1"/>
  <c r="U734" i="2"/>
  <c r="U732" i="2"/>
  <c r="U735" i="2"/>
  <c r="U744" i="2"/>
  <c r="AG544" i="2"/>
  <c r="AG684" i="2"/>
  <c r="AG682" i="2"/>
  <c r="AG679" i="2"/>
  <c r="AG680" i="2"/>
  <c r="AG637" i="2"/>
  <c r="AG539" i="2"/>
  <c r="AG638" i="2"/>
  <c r="AG640" i="2"/>
  <c r="AG689" i="2"/>
  <c r="AG645" i="2"/>
  <c r="AG546" i="2"/>
  <c r="AG545" i="2"/>
  <c r="AG543" i="2"/>
  <c r="AG685" i="2"/>
  <c r="AG636" i="2"/>
  <c r="AG635" i="2"/>
  <c r="AG642" i="2"/>
  <c r="AG686" i="2"/>
  <c r="AG687" i="2"/>
  <c r="AG588" i="2"/>
  <c r="AG540" i="2"/>
  <c r="AG683" i="2"/>
  <c r="AG536" i="2"/>
  <c r="AG681" i="2"/>
  <c r="AG639" i="2"/>
  <c r="AG541" i="2"/>
  <c r="AG538" i="2"/>
  <c r="AG542" i="2"/>
  <c r="AG641" i="2"/>
  <c r="AG644" i="2"/>
  <c r="AG643" i="2"/>
  <c r="AG537" i="2"/>
  <c r="AG659" i="2"/>
  <c r="AG663" i="2"/>
  <c r="AG566" i="2"/>
  <c r="AG667" i="2"/>
  <c r="AG599" i="2"/>
  <c r="AG662" i="2"/>
  <c r="AG661" i="2"/>
  <c r="AG610" i="2"/>
  <c r="AG701" i="2"/>
  <c r="AG711" i="2"/>
  <c r="AG664" i="2"/>
  <c r="AG665" i="2"/>
  <c r="AG657" i="2"/>
  <c r="AG705" i="2"/>
  <c r="AG706" i="2"/>
  <c r="AG703" i="2"/>
  <c r="AG709" i="2"/>
  <c r="AG708" i="2"/>
  <c r="AG660" i="2"/>
  <c r="AG577" i="2"/>
  <c r="AG710" i="2"/>
  <c r="AG707" i="2"/>
  <c r="AG621" i="2"/>
  <c r="AG704" i="2"/>
  <c r="AG555" i="2"/>
  <c r="AG658" i="2"/>
  <c r="AG702" i="2"/>
  <c r="AG668" i="2"/>
  <c r="AG676" i="2"/>
  <c r="AG624" i="2"/>
  <c r="AG656" i="2"/>
  <c r="AG675" i="2"/>
  <c r="AG669" i="2"/>
  <c r="AG651" i="2"/>
  <c r="AG671" i="2"/>
  <c r="AG629" i="2"/>
  <c r="AG634" i="2"/>
  <c r="AG654" i="2"/>
  <c r="AG648" i="2"/>
  <c r="AG649" i="2"/>
  <c r="AG673" i="2"/>
  <c r="AG626" i="2"/>
  <c r="AG674" i="2"/>
  <c r="AG678" i="2"/>
  <c r="AG630" i="2"/>
  <c r="AG646" i="2"/>
  <c r="AG632" i="2"/>
  <c r="AG631" i="2"/>
  <c r="AG647" i="2"/>
  <c r="AG625" i="2"/>
  <c r="AG650" i="2"/>
  <c r="AG672" i="2"/>
  <c r="AG670" i="2"/>
  <c r="AG652" i="2"/>
  <c r="AG653" i="2"/>
  <c r="AG627" i="2"/>
  <c r="AG692" i="2"/>
  <c r="AG698" i="2"/>
  <c r="AG694" i="2"/>
  <c r="AG693" i="2"/>
  <c r="AG697" i="2"/>
  <c r="AG696" i="2"/>
  <c r="AG690" i="2"/>
  <c r="AG691" i="2"/>
  <c r="AG700" i="2"/>
  <c r="AG699" i="2"/>
  <c r="AG695" i="2"/>
  <c r="AA684" i="2"/>
  <c r="AA544" i="2"/>
  <c r="AA686" i="2"/>
  <c r="AA539" i="2"/>
  <c r="AA545" i="2"/>
  <c r="AA689" i="2"/>
  <c r="AA683" i="2"/>
  <c r="AA687" i="2"/>
  <c r="AA635" i="2"/>
  <c r="AA543" i="2"/>
  <c r="AA541" i="2"/>
  <c r="AA536" i="2"/>
  <c r="AA588" i="2"/>
  <c r="AA642" i="2"/>
  <c r="AA645" i="2"/>
  <c r="AA644" i="2"/>
  <c r="AA538" i="2"/>
  <c r="AA681" i="2"/>
  <c r="AA682" i="2"/>
  <c r="AA679" i="2"/>
  <c r="AA643" i="2"/>
  <c r="AA542" i="2"/>
  <c r="AA540" i="2"/>
  <c r="AA636" i="2"/>
  <c r="AA638" i="2"/>
  <c r="AA685" i="2"/>
  <c r="AA537" i="2"/>
  <c r="AA639" i="2"/>
  <c r="AA546" i="2"/>
  <c r="AA680" i="2"/>
  <c r="AA637" i="2"/>
  <c r="AA641" i="2"/>
  <c r="AA640" i="2"/>
  <c r="AA663" i="2"/>
  <c r="AA599" i="2"/>
  <c r="AA667" i="2"/>
  <c r="AA566" i="2"/>
  <c r="AA610" i="2"/>
  <c r="AA659" i="2"/>
  <c r="AA662" i="2"/>
  <c r="AA661" i="2"/>
  <c r="AA707" i="2"/>
  <c r="AA660" i="2"/>
  <c r="AA555" i="2"/>
  <c r="AA577" i="2"/>
  <c r="AA701" i="2"/>
  <c r="AA705" i="2"/>
  <c r="AA704" i="2"/>
  <c r="AA710" i="2"/>
  <c r="AA709" i="2"/>
  <c r="AA658" i="2"/>
  <c r="AA621" i="2"/>
  <c r="AA708" i="2"/>
  <c r="AA706" i="2"/>
  <c r="AA711" i="2"/>
  <c r="AA702" i="2"/>
  <c r="AA665" i="2"/>
  <c r="AA657" i="2"/>
  <c r="AA664" i="2"/>
  <c r="AA703" i="2"/>
  <c r="AA675" i="2"/>
  <c r="AA649" i="2"/>
  <c r="AA651" i="2"/>
  <c r="AA656" i="2"/>
  <c r="AA632" i="2"/>
  <c r="AA678" i="2"/>
  <c r="AA654" i="2"/>
  <c r="AA674" i="2"/>
  <c r="AA627" i="2"/>
  <c r="AA625" i="2"/>
  <c r="AA650" i="2"/>
  <c r="AA673" i="2"/>
  <c r="AA670" i="2"/>
  <c r="AA652" i="2"/>
  <c r="AA653" i="2"/>
  <c r="AA630" i="2"/>
  <c r="AA626" i="2"/>
  <c r="AA668" i="2"/>
  <c r="AA629" i="2"/>
  <c r="AA647" i="2"/>
  <c r="AA646" i="2"/>
  <c r="AA624" i="2"/>
  <c r="AA676" i="2"/>
  <c r="AA631" i="2"/>
  <c r="AA648" i="2"/>
  <c r="AA669" i="2"/>
  <c r="AA671" i="2"/>
  <c r="AA672" i="2"/>
  <c r="AA634" i="2"/>
  <c r="AA697" i="2"/>
  <c r="AA695" i="2"/>
  <c r="AA691" i="2"/>
  <c r="AA698" i="2"/>
  <c r="AA700" i="2"/>
  <c r="AA696" i="2"/>
  <c r="AA694" i="2"/>
  <c r="AA693" i="2"/>
  <c r="AA699" i="2"/>
  <c r="AA692" i="2"/>
  <c r="AA690" i="2"/>
  <c r="I39" i="8"/>
  <c r="U354" i="2"/>
  <c r="U394" i="2"/>
  <c r="U434" i="2"/>
  <c r="U474" i="2"/>
  <c r="U364" i="2"/>
  <c r="U404" i="2"/>
  <c r="U444" i="2"/>
  <c r="U484" i="2"/>
  <c r="U374" i="2"/>
  <c r="U414" i="2"/>
  <c r="U454" i="2"/>
  <c r="U344" i="2"/>
  <c r="U384" i="2"/>
  <c r="U424" i="2"/>
  <c r="U464" i="2"/>
  <c r="U821" i="2"/>
  <c r="U788" i="2"/>
  <c r="U893" i="2"/>
  <c r="U828" i="2"/>
  <c r="U898" i="2"/>
  <c r="U887" i="2"/>
  <c r="U834" i="2"/>
  <c r="U833" i="2"/>
  <c r="U849" i="2"/>
  <c r="U823" i="2"/>
  <c r="U890" i="2"/>
  <c r="U847" i="2"/>
  <c r="U883" i="2"/>
  <c r="U766" i="2"/>
  <c r="U885" i="2"/>
  <c r="U813" i="2"/>
  <c r="U879" i="2"/>
  <c r="U826" i="2"/>
  <c r="U729" i="2"/>
  <c r="U840" i="2"/>
  <c r="U850" i="2"/>
  <c r="U865" i="2"/>
  <c r="U810" i="2"/>
  <c r="U895" i="2"/>
  <c r="U867" i="2"/>
  <c r="U726" i="2"/>
  <c r="U838" i="2"/>
  <c r="U854" i="2"/>
  <c r="U892" i="2"/>
  <c r="U888" i="2"/>
  <c r="U819" i="2"/>
  <c r="U816" i="2"/>
  <c r="U832" i="2"/>
  <c r="U815" i="2"/>
  <c r="U727" i="2"/>
  <c r="U848" i="2"/>
  <c r="U872" i="2"/>
  <c r="U897" i="2"/>
  <c r="U853" i="2"/>
  <c r="U845" i="2"/>
  <c r="U814" i="2"/>
  <c r="U880" i="2"/>
  <c r="U843" i="2"/>
  <c r="U874" i="2"/>
  <c r="U730" i="2"/>
  <c r="U824" i="2"/>
  <c r="U891" i="2"/>
  <c r="U831" i="2"/>
  <c r="U836" i="2"/>
  <c r="U842" i="2"/>
  <c r="U820" i="2"/>
  <c r="U886" i="2"/>
  <c r="U861" i="2"/>
  <c r="U830" i="2"/>
  <c r="U863" i="2"/>
  <c r="U827" i="2"/>
  <c r="U835" i="2"/>
  <c r="U858" i="2"/>
  <c r="U859" i="2"/>
  <c r="U889" i="2"/>
  <c r="U829" i="2"/>
  <c r="U731" i="2"/>
  <c r="U852" i="2"/>
  <c r="U900" i="2"/>
  <c r="U862" i="2"/>
  <c r="U799" i="2"/>
  <c r="U818" i="2"/>
  <c r="U873" i="2"/>
  <c r="U841" i="2"/>
  <c r="U728" i="2"/>
  <c r="U882" i="2"/>
  <c r="U825" i="2"/>
  <c r="U881" i="2"/>
  <c r="U837" i="2"/>
  <c r="U856" i="2"/>
  <c r="U725" i="2"/>
  <c r="U846" i="2"/>
  <c r="U884" i="2"/>
  <c r="U894" i="2"/>
  <c r="U896" i="2"/>
  <c r="U777" i="2"/>
  <c r="U851" i="2"/>
  <c r="U755" i="2"/>
  <c r="U857" i="2"/>
  <c r="U899" i="2"/>
  <c r="U864" i="2"/>
  <c r="U860" i="2"/>
  <c r="U839" i="2"/>
  <c r="U878" i="2"/>
  <c r="U871" i="2"/>
  <c r="U870" i="2"/>
  <c r="U875" i="2"/>
  <c r="U868" i="2"/>
  <c r="U876" i="2"/>
  <c r="U869" i="2"/>
  <c r="K40" i="8"/>
  <c r="I38" i="8"/>
  <c r="K39" i="8"/>
  <c r="I43" i="8"/>
  <c r="K43" i="8"/>
  <c r="I42" i="8"/>
  <c r="K42" i="8"/>
  <c r="B71" i="8"/>
  <c r="I41" i="8"/>
  <c r="K41" i="8"/>
  <c r="I37" i="8"/>
  <c r="K37" i="8"/>
  <c r="K38" i="8"/>
  <c r="B39" i="8"/>
  <c r="D39" i="8" s="1"/>
  <c r="D56" i="8" s="1"/>
  <c r="B40" i="8"/>
  <c r="D40" i="8" s="1"/>
  <c r="D57" i="8" s="1"/>
  <c r="G28" i="8"/>
  <c r="I40" i="8" s="1"/>
  <c r="B44" i="8"/>
  <c r="B41" i="8"/>
  <c r="C41" i="8" s="1"/>
  <c r="B37" i="8"/>
  <c r="C37" i="8" s="1"/>
  <c r="B38" i="8"/>
  <c r="C38" i="8" s="1"/>
  <c r="C68" i="8" s="1"/>
  <c r="B42" i="8"/>
  <c r="D42" i="8" s="1"/>
  <c r="E72" i="8" s="1"/>
  <c r="P397" i="2"/>
  <c r="J39" i="8"/>
  <c r="J38" i="8"/>
  <c r="J40" i="8"/>
  <c r="J37" i="8"/>
  <c r="H32" i="8"/>
  <c r="E32" i="8"/>
  <c r="J32" i="8"/>
  <c r="B32" i="8"/>
  <c r="D32" i="8"/>
  <c r="L32" i="8"/>
  <c r="K32" i="8"/>
  <c r="I32" i="8"/>
  <c r="F32" i="8"/>
  <c r="C32" i="8"/>
  <c r="C32" i="3"/>
  <c r="B33" i="3"/>
  <c r="A106" i="6"/>
  <c r="K39" i="6"/>
  <c r="C98" i="2"/>
  <c r="I98" i="2" s="1"/>
  <c r="C96" i="2"/>
  <c r="I96" i="2" s="1"/>
  <c r="C31" i="2"/>
  <c r="I31" i="2" s="1"/>
  <c r="C28" i="2"/>
  <c r="I28" i="2" s="1"/>
  <c r="C27" i="2"/>
  <c r="I27" i="2" s="1"/>
  <c r="C26" i="2"/>
  <c r="I26" i="2" s="1"/>
  <c r="C25" i="2"/>
  <c r="I25" i="2" s="1"/>
  <c r="C24" i="2"/>
  <c r="I24" i="2" s="1"/>
  <c r="C23" i="2"/>
  <c r="I23" i="2" s="1"/>
  <c r="G229" i="9"/>
  <c r="I502" i="2" s="1"/>
  <c r="G219" i="9"/>
  <c r="I491" i="2" s="1"/>
  <c r="G197" i="9"/>
  <c r="I501" i="2" s="1"/>
  <c r="G187" i="9"/>
  <c r="I490" i="2" s="1"/>
  <c r="G154" i="9"/>
  <c r="I499" i="2" s="1"/>
  <c r="G143" i="9"/>
  <c r="I488" i="2" s="1"/>
  <c r="G121" i="9"/>
  <c r="I498" i="2" s="1"/>
  <c r="G110" i="9"/>
  <c r="I487" i="2" s="1"/>
  <c r="G99" i="9"/>
  <c r="I476" i="2" s="1"/>
  <c r="G24" i="9"/>
  <c r="A23" i="18" l="1"/>
  <c r="B23" i="18" s="1"/>
  <c r="A67" i="19"/>
  <c r="E41" i="8"/>
  <c r="F73" i="8" s="1"/>
  <c r="O351" i="2"/>
  <c r="AG666" i="2" s="1"/>
  <c r="L93" i="5"/>
  <c r="C33" i="3"/>
  <c r="M39" i="6"/>
  <c r="K51" i="14"/>
  <c r="M51" i="14" s="1"/>
  <c r="F19" i="14" s="1"/>
  <c r="L37" i="8"/>
  <c r="L39" i="8"/>
  <c r="L38" i="8"/>
  <c r="G32" i="8"/>
  <c r="I44" i="8" s="1"/>
  <c r="J42" i="8"/>
  <c r="L42" i="8" s="1"/>
  <c r="K44" i="8"/>
  <c r="J43" i="8"/>
  <c r="L43" i="8" s="1"/>
  <c r="J41" i="8"/>
  <c r="L41" i="8" s="1"/>
  <c r="L40" i="8"/>
  <c r="D37" i="8"/>
  <c r="D54" i="8" s="1"/>
  <c r="I528" i="2"/>
  <c r="E70" i="8"/>
  <c r="E69" i="8"/>
  <c r="D53" i="8"/>
  <c r="C42" i="8"/>
  <c r="C72" i="8" s="1"/>
  <c r="E42" i="8"/>
  <c r="D41" i="8"/>
  <c r="E73" i="8" s="1"/>
  <c r="E44" i="8"/>
  <c r="C39" i="8"/>
  <c r="C73" i="8"/>
  <c r="E40" i="8"/>
  <c r="E37" i="8"/>
  <c r="C40" i="8"/>
  <c r="E39" i="8"/>
  <c r="D38" i="8"/>
  <c r="E38" i="8"/>
  <c r="B45" i="8"/>
  <c r="B93" i="6"/>
  <c r="B54" i="19" s="1"/>
  <c r="A93" i="6"/>
  <c r="C93" i="6"/>
  <c r="C54" i="19" s="1"/>
  <c r="D93" i="6"/>
  <c r="E93" i="6"/>
  <c r="E54" i="19" s="1"/>
  <c r="F93" i="6"/>
  <c r="F54" i="19" s="1"/>
  <c r="G93" i="6"/>
  <c r="H93" i="6"/>
  <c r="I93" i="6"/>
  <c r="I54" i="19" s="1"/>
  <c r="J93" i="6"/>
  <c r="J54" i="19" s="1"/>
  <c r="K93" i="6"/>
  <c r="K54" i="19" s="1"/>
  <c r="L93" i="6"/>
  <c r="L54" i="19" s="1"/>
  <c r="M93" i="6"/>
  <c r="A94" i="6"/>
  <c r="A96" i="6"/>
  <c r="A97" i="6"/>
  <c r="A98" i="6"/>
  <c r="A99" i="6"/>
  <c r="A100" i="6"/>
  <c r="A101" i="6"/>
  <c r="A102" i="6"/>
  <c r="A103" i="6"/>
  <c r="A104" i="6"/>
  <c r="A105" i="6"/>
  <c r="A107" i="6"/>
  <c r="A108" i="6"/>
  <c r="B7" i="2"/>
  <c r="B8" i="2"/>
  <c r="B9" i="2"/>
  <c r="B10" i="2"/>
  <c r="B11" i="2"/>
  <c r="B12" i="2"/>
  <c r="B13" i="2"/>
  <c r="B14" i="2"/>
  <c r="B15" i="2"/>
  <c r="B16" i="2"/>
  <c r="B6" i="2"/>
  <c r="A18" i="2"/>
  <c r="A7" i="2"/>
  <c r="A8" i="2"/>
  <c r="A9" i="2"/>
  <c r="A10" i="2"/>
  <c r="A11" i="2"/>
  <c r="A12" i="2"/>
  <c r="A13" i="2"/>
  <c r="A14" i="2"/>
  <c r="A15" i="2"/>
  <c r="A16" i="2"/>
  <c r="A17" i="2"/>
  <c r="A6" i="2"/>
  <c r="K41" i="6"/>
  <c r="K40" i="6"/>
  <c r="K61" i="6" s="1"/>
  <c r="D483" i="11" s="1"/>
  <c r="K37" i="6"/>
  <c r="F36" i="6"/>
  <c r="K36" i="6"/>
  <c r="M38" i="6"/>
  <c r="B5" i="7"/>
  <c r="E6" i="8" s="1"/>
  <c r="G19" i="6"/>
  <c r="E19" i="6"/>
  <c r="I19" i="6"/>
  <c r="H19" i="6"/>
  <c r="F19" i="6"/>
  <c r="D19" i="6"/>
  <c r="B4" i="7"/>
  <c r="B3" i="7"/>
  <c r="J61" i="6" s="1"/>
  <c r="D482" i="11" s="1"/>
  <c r="U855" i="2" l="1"/>
  <c r="AA666" i="2"/>
  <c r="A17" i="18"/>
  <c r="B17" i="18" s="1"/>
  <c r="A61" i="19"/>
  <c r="E88" i="11"/>
  <c r="D54" i="19"/>
  <c r="A25" i="18"/>
  <c r="B25" i="18" s="1"/>
  <c r="A69" i="19"/>
  <c r="A22" i="18"/>
  <c r="B22" i="18" s="1"/>
  <c r="A66" i="19"/>
  <c r="A14" i="18"/>
  <c r="B14" i="18" s="1"/>
  <c r="A58" i="19"/>
  <c r="S80" i="5"/>
  <c r="H54" i="19"/>
  <c r="A18" i="18"/>
  <c r="B18" i="18" s="1"/>
  <c r="A62" i="19"/>
  <c r="A24" i="18"/>
  <c r="B24" i="18" s="1"/>
  <c r="A68" i="19"/>
  <c r="A21" i="18"/>
  <c r="B21" i="18" s="1"/>
  <c r="A65" i="19"/>
  <c r="A13" i="18"/>
  <c r="B13" i="18" s="1"/>
  <c r="A57" i="19"/>
  <c r="R80" i="5"/>
  <c r="G54" i="19"/>
  <c r="A19" i="18"/>
  <c r="B19" i="18" s="1"/>
  <c r="A63" i="19"/>
  <c r="A16" i="18"/>
  <c r="B16" i="18" s="1"/>
  <c r="A60" i="19"/>
  <c r="A15" i="18"/>
  <c r="B15" i="18" s="1"/>
  <c r="A59" i="19"/>
  <c r="A20" i="18"/>
  <c r="B20" i="18" s="1"/>
  <c r="A64" i="19"/>
  <c r="A11" i="18"/>
  <c r="A55" i="19"/>
  <c r="E67" i="8"/>
  <c r="D61" i="6"/>
  <c r="D476" i="11" s="1"/>
  <c r="C61" i="6"/>
  <c r="D475" i="11" s="1"/>
  <c r="T915" i="2"/>
  <c r="T907" i="2"/>
  <c r="N730" i="2"/>
  <c r="N722" i="2"/>
  <c r="N714" i="2"/>
  <c r="T914" i="2"/>
  <c r="T906" i="2"/>
  <c r="N729" i="2"/>
  <c r="N721" i="2"/>
  <c r="N713" i="2"/>
  <c r="T913" i="2"/>
  <c r="T905" i="2"/>
  <c r="N728" i="2"/>
  <c r="N720" i="2"/>
  <c r="N712" i="2"/>
  <c r="T920" i="2"/>
  <c r="T912" i="2"/>
  <c r="T904" i="2"/>
  <c r="N727" i="2"/>
  <c r="N719" i="2"/>
  <c r="T919" i="2"/>
  <c r="T911" i="2"/>
  <c r="T903" i="2"/>
  <c r="N726" i="2"/>
  <c r="N718" i="2"/>
  <c r="T918" i="2"/>
  <c r="T910" i="2"/>
  <c r="T902" i="2"/>
  <c r="N725" i="2"/>
  <c r="N717" i="2"/>
  <c r="T917" i="2"/>
  <c r="T909" i="2"/>
  <c r="T901" i="2"/>
  <c r="N724" i="2"/>
  <c r="N716" i="2"/>
  <c r="T916" i="2"/>
  <c r="T908" i="2"/>
  <c r="N731" i="2"/>
  <c r="N723" i="2"/>
  <c r="N715" i="2"/>
  <c r="E61" i="6"/>
  <c r="D477" i="11" s="1"/>
  <c r="B59" i="6"/>
  <c r="D369" i="11" s="1"/>
  <c r="J59" i="6"/>
  <c r="D377" i="11" s="1"/>
  <c r="G63" i="6"/>
  <c r="J50" i="6"/>
  <c r="D83" i="11" s="1"/>
  <c r="B63" i="6"/>
  <c r="J63" i="6"/>
  <c r="J56" i="6"/>
  <c r="D307" i="11" s="1"/>
  <c r="G59" i="6"/>
  <c r="D374" i="11" s="1"/>
  <c r="D63" i="6"/>
  <c r="L63" i="6"/>
  <c r="I64" i="6"/>
  <c r="J52" i="6"/>
  <c r="D165" i="11" s="1"/>
  <c r="J53" i="6"/>
  <c r="D201" i="11" s="1"/>
  <c r="F64" i="6"/>
  <c r="C59" i="6"/>
  <c r="D370" i="11" s="1"/>
  <c r="I59" i="6"/>
  <c r="D376" i="11" s="1"/>
  <c r="I63" i="6"/>
  <c r="H64" i="6"/>
  <c r="J51" i="6"/>
  <c r="D129" i="11" s="1"/>
  <c r="G64" i="6"/>
  <c r="L59" i="6"/>
  <c r="D379" i="11" s="1"/>
  <c r="L64" i="6"/>
  <c r="E59" i="6"/>
  <c r="D372" i="11" s="1"/>
  <c r="D59" i="6"/>
  <c r="D371" i="11" s="1"/>
  <c r="D64" i="6"/>
  <c r="J64" i="6"/>
  <c r="F63" i="6"/>
  <c r="J55" i="6"/>
  <c r="D272" i="11" s="1"/>
  <c r="B64" i="6"/>
  <c r="K63" i="6"/>
  <c r="E64" i="6"/>
  <c r="J54" i="6"/>
  <c r="D237" i="11" s="1"/>
  <c r="E63" i="6"/>
  <c r="C63" i="6"/>
  <c r="H63" i="6"/>
  <c r="K64" i="6"/>
  <c r="C64" i="6"/>
  <c r="H59" i="6"/>
  <c r="D375" i="11" s="1"/>
  <c r="F59" i="6"/>
  <c r="D373" i="11" s="1"/>
  <c r="K59" i="6"/>
  <c r="D378" i="11" s="1"/>
  <c r="F61" i="6"/>
  <c r="D478" i="11" s="1"/>
  <c r="B61" i="6"/>
  <c r="D474" i="11" s="1"/>
  <c r="G61" i="6"/>
  <c r="D479" i="11" s="1"/>
  <c r="I61" i="6"/>
  <c r="D481" i="11" s="1"/>
  <c r="L61" i="6"/>
  <c r="D484" i="11" s="1"/>
  <c r="H61" i="6"/>
  <c r="D480" i="11" s="1"/>
  <c r="H20" i="6"/>
  <c r="D20" i="6"/>
  <c r="F20" i="6"/>
  <c r="O340" i="2"/>
  <c r="AG655" i="2" s="1"/>
  <c r="O362" i="2"/>
  <c r="AG677" i="2" s="1"/>
  <c r="O373" i="2"/>
  <c r="AG688" i="2" s="1"/>
  <c r="O318" i="2"/>
  <c r="AG633" i="2" s="1"/>
  <c r="F48" i="14"/>
  <c r="O313" i="2"/>
  <c r="AG628" i="2" s="1"/>
  <c r="N80" i="5"/>
  <c r="L80" i="5"/>
  <c r="A10" i="18"/>
  <c r="V80" i="5"/>
  <c r="K48" i="14"/>
  <c r="T80" i="5"/>
  <c r="K49" i="14"/>
  <c r="M49" i="14" s="1"/>
  <c r="F18" i="14" s="1"/>
  <c r="P80" i="5"/>
  <c r="L91" i="5"/>
  <c r="L83" i="5"/>
  <c r="L90" i="5"/>
  <c r="L81" i="5"/>
  <c r="Q80" i="5"/>
  <c r="H4" i="17"/>
  <c r="B23" i="17" s="1"/>
  <c r="L89" i="5"/>
  <c r="L88" i="5"/>
  <c r="L87" i="5"/>
  <c r="L95" i="5"/>
  <c r="L86" i="5"/>
  <c r="U80" i="5"/>
  <c r="I4" i="17"/>
  <c r="C23" i="17" s="1"/>
  <c r="L94" i="5"/>
  <c r="L85" i="5"/>
  <c r="L92" i="5"/>
  <c r="L84" i="5"/>
  <c r="E26" i="3"/>
  <c r="E35" i="3"/>
  <c r="E25" i="3"/>
  <c r="E27" i="3"/>
  <c r="E32" i="3"/>
  <c r="E24" i="3"/>
  <c r="E28" i="3"/>
  <c r="E29" i="3"/>
  <c r="E36" i="3"/>
  <c r="E23" i="3"/>
  <c r="B6" i="8"/>
  <c r="E33" i="3"/>
  <c r="F80" i="8"/>
  <c r="F79" i="8"/>
  <c r="F37" i="8"/>
  <c r="M40" i="6"/>
  <c r="K52" i="14"/>
  <c r="M52" i="14" s="1"/>
  <c r="F20" i="14" s="1"/>
  <c r="M41" i="6"/>
  <c r="K53" i="14"/>
  <c r="M53" i="14" s="1"/>
  <c r="F21" i="14" s="1"/>
  <c r="O80" i="5"/>
  <c r="E334" i="11"/>
  <c r="E335" i="11"/>
  <c r="E336" i="11"/>
  <c r="N652" i="2"/>
  <c r="E337" i="11"/>
  <c r="N653" i="2"/>
  <c r="N654" i="2"/>
  <c r="N655" i="2"/>
  <c r="N624" i="2"/>
  <c r="N574" i="2"/>
  <c r="N582" i="2"/>
  <c r="N590" i="2"/>
  <c r="N598" i="2"/>
  <c r="N606" i="2"/>
  <c r="N614" i="2"/>
  <c r="N626" i="2"/>
  <c r="N634" i="2"/>
  <c r="N642" i="2"/>
  <c r="N650" i="2"/>
  <c r="N662" i="2"/>
  <c r="N670" i="2"/>
  <c r="N678" i="2"/>
  <c r="N686" i="2"/>
  <c r="N694" i="2"/>
  <c r="N702" i="2"/>
  <c r="N710" i="2"/>
  <c r="N569" i="2"/>
  <c r="N625" i="2"/>
  <c r="N575" i="2"/>
  <c r="N583" i="2"/>
  <c r="N591" i="2"/>
  <c r="N599" i="2"/>
  <c r="N607" i="2"/>
  <c r="N615" i="2"/>
  <c r="N627" i="2"/>
  <c r="N635" i="2"/>
  <c r="N643" i="2"/>
  <c r="N651" i="2"/>
  <c r="N663" i="2"/>
  <c r="N671" i="2"/>
  <c r="N679" i="2"/>
  <c r="N687" i="2"/>
  <c r="N695" i="2"/>
  <c r="N703" i="2"/>
  <c r="N711" i="2"/>
  <c r="N570" i="2"/>
  <c r="E229" i="11"/>
  <c r="N576" i="2"/>
  <c r="N584" i="2"/>
  <c r="N592" i="2"/>
  <c r="N600" i="2"/>
  <c r="N608" i="2"/>
  <c r="N616" i="2"/>
  <c r="N628" i="2"/>
  <c r="N636" i="2"/>
  <c r="N644" i="2"/>
  <c r="N656" i="2"/>
  <c r="N664" i="2"/>
  <c r="N672" i="2"/>
  <c r="N680" i="2"/>
  <c r="N688" i="2"/>
  <c r="N696" i="2"/>
  <c r="N704" i="2"/>
  <c r="N563" i="2"/>
  <c r="N571" i="2"/>
  <c r="E230" i="11"/>
  <c r="N577" i="2"/>
  <c r="N585" i="2"/>
  <c r="N593" i="2"/>
  <c r="N601" i="2"/>
  <c r="N609" i="2"/>
  <c r="N617" i="2"/>
  <c r="N629" i="2"/>
  <c r="N637" i="2"/>
  <c r="N645" i="2"/>
  <c r="N657" i="2"/>
  <c r="N665" i="2"/>
  <c r="N673" i="2"/>
  <c r="N681" i="2"/>
  <c r="N689" i="2"/>
  <c r="N697" i="2"/>
  <c r="N705" i="2"/>
  <c r="N564" i="2"/>
  <c r="N562" i="2"/>
  <c r="E231" i="11"/>
  <c r="N578" i="2"/>
  <c r="N586" i="2"/>
  <c r="N594" i="2"/>
  <c r="N602" i="2"/>
  <c r="N610" i="2"/>
  <c r="N618" i="2"/>
  <c r="N630" i="2"/>
  <c r="N638" i="2"/>
  <c r="N646" i="2"/>
  <c r="N658" i="2"/>
  <c r="N666" i="2"/>
  <c r="N674" i="2"/>
  <c r="N682" i="2"/>
  <c r="N690" i="2"/>
  <c r="N698" i="2"/>
  <c r="N706" i="2"/>
  <c r="N565" i="2"/>
  <c r="E195" i="11"/>
  <c r="E232" i="11"/>
  <c r="N579" i="2"/>
  <c r="N587" i="2"/>
  <c r="N595" i="2"/>
  <c r="N603" i="2"/>
  <c r="N611" i="2"/>
  <c r="N619" i="2"/>
  <c r="N631" i="2"/>
  <c r="N639" i="2"/>
  <c r="N647" i="2"/>
  <c r="N659" i="2"/>
  <c r="N667" i="2"/>
  <c r="N675" i="2"/>
  <c r="N683" i="2"/>
  <c r="N691" i="2"/>
  <c r="N699" i="2"/>
  <c r="N707" i="2"/>
  <c r="N566" i="2"/>
  <c r="E193" i="11"/>
  <c r="N622" i="2"/>
  <c r="N572" i="2"/>
  <c r="N580" i="2"/>
  <c r="N588" i="2"/>
  <c r="N596" i="2"/>
  <c r="N604" i="2"/>
  <c r="N612" i="2"/>
  <c r="N620" i="2"/>
  <c r="N632" i="2"/>
  <c r="N640" i="2"/>
  <c r="N648" i="2"/>
  <c r="N660" i="2"/>
  <c r="N668" i="2"/>
  <c r="N676" i="2"/>
  <c r="N684" i="2"/>
  <c r="N692" i="2"/>
  <c r="N700" i="2"/>
  <c r="N708" i="2"/>
  <c r="N567" i="2"/>
  <c r="E194" i="11"/>
  <c r="E522" i="11"/>
  <c r="N623" i="2"/>
  <c r="N573" i="2"/>
  <c r="N581" i="2"/>
  <c r="N589" i="2"/>
  <c r="N597" i="2"/>
  <c r="N605" i="2"/>
  <c r="N613" i="2"/>
  <c r="N621" i="2"/>
  <c r="N633" i="2"/>
  <c r="N641" i="2"/>
  <c r="N649" i="2"/>
  <c r="N661" i="2"/>
  <c r="N669" i="2"/>
  <c r="N677" i="2"/>
  <c r="N685" i="2"/>
  <c r="N693" i="2"/>
  <c r="N701" i="2"/>
  <c r="N709" i="2"/>
  <c r="N568" i="2"/>
  <c r="E196" i="11"/>
  <c r="E16" i="11"/>
  <c r="E24" i="11"/>
  <c r="E32" i="11"/>
  <c r="E44" i="11"/>
  <c r="E52" i="11"/>
  <c r="E60" i="11"/>
  <c r="E68" i="11"/>
  <c r="E80" i="11"/>
  <c r="E98" i="11"/>
  <c r="E106" i="11"/>
  <c r="E114" i="11"/>
  <c r="E126" i="11"/>
  <c r="E134" i="11"/>
  <c r="E142" i="11"/>
  <c r="E150" i="11"/>
  <c r="E162" i="11"/>
  <c r="E170" i="11"/>
  <c r="E178" i="11"/>
  <c r="E186" i="11"/>
  <c r="E202" i="11"/>
  <c r="E210" i="11"/>
  <c r="E218" i="11"/>
  <c r="E234" i="11"/>
  <c r="E242" i="11"/>
  <c r="E250" i="11"/>
  <c r="E258" i="11"/>
  <c r="E270" i="11"/>
  <c r="E278" i="11"/>
  <c r="E286" i="11"/>
  <c r="E294" i="11"/>
  <c r="E306" i="11"/>
  <c r="E314" i="11"/>
  <c r="E322" i="11"/>
  <c r="E338" i="11"/>
  <c r="E346" i="11"/>
  <c r="E354" i="11"/>
  <c r="E362" i="11"/>
  <c r="E374" i="11"/>
  <c r="E382" i="11"/>
  <c r="E390" i="11"/>
  <c r="E398" i="11"/>
  <c r="E410" i="11"/>
  <c r="E418" i="11"/>
  <c r="E426" i="11"/>
  <c r="E434" i="11"/>
  <c r="E446" i="11"/>
  <c r="E454" i="11"/>
  <c r="E462" i="11"/>
  <c r="E474" i="11"/>
  <c r="E482" i="11"/>
  <c r="E490" i="11"/>
  <c r="E498" i="11"/>
  <c r="E510" i="11"/>
  <c r="E518" i="11"/>
  <c r="E527" i="11"/>
  <c r="E535" i="11"/>
  <c r="E7" i="11"/>
  <c r="E4" i="11"/>
  <c r="E211" i="11"/>
  <c r="E279" i="11"/>
  <c r="E299" i="11"/>
  <c r="E315" i="11"/>
  <c r="E323" i="11"/>
  <c r="E347" i="11"/>
  <c r="E355" i="11"/>
  <c r="E375" i="11"/>
  <c r="E383" i="11"/>
  <c r="E399" i="11"/>
  <c r="E411" i="11"/>
  <c r="E427" i="11"/>
  <c r="E439" i="11"/>
  <c r="E447" i="11"/>
  <c r="E463" i="11"/>
  <c r="E475" i="11"/>
  <c r="E483" i="11"/>
  <c r="E491" i="11"/>
  <c r="E511" i="11"/>
  <c r="E519" i="11"/>
  <c r="E528" i="11"/>
  <c r="E536" i="11"/>
  <c r="E8" i="11"/>
  <c r="E500" i="11"/>
  <c r="E520" i="11"/>
  <c r="E537" i="11"/>
  <c r="E17" i="11"/>
  <c r="E25" i="11"/>
  <c r="E33" i="11"/>
  <c r="E45" i="11"/>
  <c r="E53" i="11"/>
  <c r="E61" i="11"/>
  <c r="E69" i="11"/>
  <c r="E81" i="11"/>
  <c r="E99" i="11"/>
  <c r="E107" i="11"/>
  <c r="E115" i="11"/>
  <c r="E127" i="11"/>
  <c r="E135" i="11"/>
  <c r="E143" i="11"/>
  <c r="E151" i="11"/>
  <c r="E163" i="11"/>
  <c r="E171" i="11"/>
  <c r="E179" i="11"/>
  <c r="E187" i="11"/>
  <c r="E203" i="11"/>
  <c r="E219" i="11"/>
  <c r="E235" i="11"/>
  <c r="E243" i="11"/>
  <c r="E251" i="11"/>
  <c r="E259" i="11"/>
  <c r="E271" i="11"/>
  <c r="E287" i="11"/>
  <c r="E307" i="11"/>
  <c r="E339" i="11"/>
  <c r="E363" i="11"/>
  <c r="E391" i="11"/>
  <c r="E419" i="11"/>
  <c r="E455" i="11"/>
  <c r="E499" i="11"/>
  <c r="E18" i="11"/>
  <c r="E26" i="11"/>
  <c r="E34" i="11"/>
  <c r="E46" i="11"/>
  <c r="E54" i="11"/>
  <c r="E62" i="11"/>
  <c r="E70" i="11"/>
  <c r="E82" i="11"/>
  <c r="E100" i="11"/>
  <c r="E108" i="11"/>
  <c r="E116" i="11"/>
  <c r="E128" i="11"/>
  <c r="E136" i="11"/>
  <c r="E144" i="11"/>
  <c r="E152" i="11"/>
  <c r="E164" i="11"/>
  <c r="E172" i="11"/>
  <c r="E180" i="11"/>
  <c r="E188" i="11"/>
  <c r="E204" i="11"/>
  <c r="E212" i="11"/>
  <c r="E220" i="11"/>
  <c r="E236" i="11"/>
  <c r="E244" i="11"/>
  <c r="E252" i="11"/>
  <c r="E264" i="11"/>
  <c r="E272" i="11"/>
  <c r="E280" i="11"/>
  <c r="E288" i="11"/>
  <c r="E300" i="11"/>
  <c r="E308" i="11"/>
  <c r="E316" i="11"/>
  <c r="E324" i="11"/>
  <c r="E340" i="11"/>
  <c r="E348" i="11"/>
  <c r="E356" i="11"/>
  <c r="E364" i="11"/>
  <c r="E376" i="11"/>
  <c r="E384" i="11"/>
  <c r="E392" i="11"/>
  <c r="E404" i="11"/>
  <c r="E412" i="11"/>
  <c r="E420" i="11"/>
  <c r="E428" i="11"/>
  <c r="E440" i="11"/>
  <c r="E448" i="11"/>
  <c r="E456" i="11"/>
  <c r="E464" i="11"/>
  <c r="E476" i="11"/>
  <c r="E484" i="11"/>
  <c r="E492" i="11"/>
  <c r="E512" i="11"/>
  <c r="E529" i="11"/>
  <c r="E19" i="11"/>
  <c r="E27" i="11"/>
  <c r="E35" i="11"/>
  <c r="E47" i="11"/>
  <c r="E55" i="11"/>
  <c r="E63" i="11"/>
  <c r="E75" i="11"/>
  <c r="E83" i="11"/>
  <c r="E101" i="11"/>
  <c r="E109" i="11"/>
  <c r="E121" i="11"/>
  <c r="E129" i="11"/>
  <c r="E137" i="11"/>
  <c r="E145" i="11"/>
  <c r="E157" i="11"/>
  <c r="E165" i="11"/>
  <c r="E173" i="11"/>
  <c r="E181" i="11"/>
  <c r="E197" i="11"/>
  <c r="E205" i="11"/>
  <c r="E213" i="11"/>
  <c r="E221" i="11"/>
  <c r="E237" i="11"/>
  <c r="E245" i="11"/>
  <c r="E253" i="11"/>
  <c r="E265" i="11"/>
  <c r="E273" i="11"/>
  <c r="E281" i="11"/>
  <c r="E289" i="11"/>
  <c r="E301" i="11"/>
  <c r="E309" i="11"/>
  <c r="E317" i="11"/>
  <c r="E325" i="11"/>
  <c r="E341" i="11"/>
  <c r="E349" i="11"/>
  <c r="E357" i="11"/>
  <c r="E369" i="11"/>
  <c r="E377" i="11"/>
  <c r="E385" i="11"/>
  <c r="E393" i="11"/>
  <c r="E405" i="11"/>
  <c r="E413" i="11"/>
  <c r="E421" i="11"/>
  <c r="E429" i="11"/>
  <c r="E441" i="11"/>
  <c r="E449" i="11"/>
  <c r="E457" i="11"/>
  <c r="E465" i="11"/>
  <c r="E20" i="11"/>
  <c r="E40" i="11"/>
  <c r="E56" i="11"/>
  <c r="E76" i="11"/>
  <c r="E102" i="11"/>
  <c r="E122" i="11"/>
  <c r="E138" i="11"/>
  <c r="E158" i="11"/>
  <c r="E174" i="11"/>
  <c r="E198" i="11"/>
  <c r="E214" i="11"/>
  <c r="E238" i="11"/>
  <c r="E254" i="11"/>
  <c r="E274" i="11"/>
  <c r="E290" i="11"/>
  <c r="E310" i="11"/>
  <c r="E326" i="11"/>
  <c r="E350" i="11"/>
  <c r="E370" i="11"/>
  <c r="E386" i="11"/>
  <c r="E406" i="11"/>
  <c r="E422" i="11"/>
  <c r="E442" i="11"/>
  <c r="E458" i="11"/>
  <c r="E477" i="11"/>
  <c r="E488" i="11"/>
  <c r="E502" i="11"/>
  <c r="E517" i="11"/>
  <c r="E532" i="11"/>
  <c r="E9" i="11"/>
  <c r="E21" i="11"/>
  <c r="E41" i="11"/>
  <c r="E57" i="11"/>
  <c r="E77" i="11"/>
  <c r="E103" i="11"/>
  <c r="E123" i="11"/>
  <c r="E139" i="11"/>
  <c r="E159" i="11"/>
  <c r="E175" i="11"/>
  <c r="E199" i="11"/>
  <c r="E215" i="11"/>
  <c r="E239" i="11"/>
  <c r="E255" i="11"/>
  <c r="E275" i="11"/>
  <c r="E291" i="11"/>
  <c r="E311" i="11"/>
  <c r="E327" i="11"/>
  <c r="E351" i="11"/>
  <c r="E371" i="11"/>
  <c r="E387" i="11"/>
  <c r="E407" i="11"/>
  <c r="E423" i="11"/>
  <c r="E443" i="11"/>
  <c r="E459" i="11"/>
  <c r="E478" i="11"/>
  <c r="E489" i="11"/>
  <c r="E503" i="11"/>
  <c r="E521" i="11"/>
  <c r="E533" i="11"/>
  <c r="E10" i="11"/>
  <c r="E22" i="11"/>
  <c r="E42" i="11"/>
  <c r="E78" i="11"/>
  <c r="E104" i="11"/>
  <c r="E124" i="11"/>
  <c r="E140" i="11"/>
  <c r="E160" i="11"/>
  <c r="E176" i="11"/>
  <c r="E200" i="11"/>
  <c r="E216" i="11"/>
  <c r="E240" i="11"/>
  <c r="E256" i="11"/>
  <c r="E276" i="11"/>
  <c r="E292" i="11"/>
  <c r="E312" i="11"/>
  <c r="E328" i="11"/>
  <c r="E352" i="11"/>
  <c r="E372" i="11"/>
  <c r="E388" i="11"/>
  <c r="E408" i="11"/>
  <c r="E424" i="11"/>
  <c r="E444" i="11"/>
  <c r="E460" i="11"/>
  <c r="E479" i="11"/>
  <c r="E493" i="11"/>
  <c r="E504" i="11"/>
  <c r="E523" i="11"/>
  <c r="E534" i="11"/>
  <c r="E11" i="11"/>
  <c r="E141" i="11"/>
  <c r="E241" i="11"/>
  <c r="E277" i="11"/>
  <c r="E313" i="11"/>
  <c r="E329" i="11"/>
  <c r="E353" i="11"/>
  <c r="E389" i="11"/>
  <c r="E409" i="11"/>
  <c r="E425" i="11"/>
  <c r="E461" i="11"/>
  <c r="E480" i="11"/>
  <c r="E494" i="11"/>
  <c r="E524" i="11"/>
  <c r="E538" i="11"/>
  <c r="E12" i="11"/>
  <c r="E84" i="11"/>
  <c r="E166" i="11"/>
  <c r="E266" i="11"/>
  <c r="E282" i="11"/>
  <c r="E318" i="11"/>
  <c r="E342" i="11"/>
  <c r="E378" i="11"/>
  <c r="E394" i="11"/>
  <c r="E430" i="11"/>
  <c r="E481" i="11"/>
  <c r="E525" i="11"/>
  <c r="E539" i="11"/>
  <c r="E379" i="11"/>
  <c r="E496" i="11"/>
  <c r="E30" i="11"/>
  <c r="E148" i="11"/>
  <c r="E268" i="11"/>
  <c r="E360" i="11"/>
  <c r="E452" i="11"/>
  <c r="E515" i="11"/>
  <c r="E113" i="11"/>
  <c r="E345" i="11"/>
  <c r="E501" i="11"/>
  <c r="E206" i="11"/>
  <c r="E450" i="11"/>
  <c r="E431" i="11"/>
  <c r="E514" i="11"/>
  <c r="E66" i="11"/>
  <c r="E184" i="11"/>
  <c r="E320" i="11"/>
  <c r="E416" i="11"/>
  <c r="E486" i="11"/>
  <c r="E5" i="11"/>
  <c r="E97" i="11"/>
  <c r="E209" i="11"/>
  <c r="E285" i="11"/>
  <c r="E397" i="11"/>
  <c r="E487" i="11"/>
  <c r="E58" i="11"/>
  <c r="E222" i="11"/>
  <c r="E414" i="11"/>
  <c r="E513" i="11"/>
  <c r="E13" i="11"/>
  <c r="E451" i="11"/>
  <c r="E485" i="11"/>
  <c r="E14" i="11"/>
  <c r="E50" i="11"/>
  <c r="E132" i="11"/>
  <c r="E208" i="11"/>
  <c r="E284" i="11"/>
  <c r="E380" i="11"/>
  <c r="E497" i="11"/>
  <c r="E15" i="11"/>
  <c r="E133" i="11"/>
  <c r="E233" i="11"/>
  <c r="E305" i="11"/>
  <c r="E381" i="11"/>
  <c r="E453" i="11"/>
  <c r="E531" i="11"/>
  <c r="E23" i="11"/>
  <c r="E43" i="11"/>
  <c r="E59" i="11"/>
  <c r="E79" i="11"/>
  <c r="E105" i="11"/>
  <c r="E125" i="11"/>
  <c r="E161" i="11"/>
  <c r="E177" i="11"/>
  <c r="E201" i="11"/>
  <c r="E217" i="11"/>
  <c r="E257" i="11"/>
  <c r="E293" i="11"/>
  <c r="E373" i="11"/>
  <c r="E445" i="11"/>
  <c r="E509" i="11"/>
  <c r="E495" i="11"/>
  <c r="E395" i="11"/>
  <c r="E526" i="11"/>
  <c r="E96" i="11"/>
  <c r="E168" i="11"/>
  <c r="E304" i="11"/>
  <c r="E396" i="11"/>
  <c r="E468" i="11"/>
  <c r="E31" i="11"/>
  <c r="E185" i="11"/>
  <c r="E321" i="11"/>
  <c r="E417" i="11"/>
  <c r="E516" i="11"/>
  <c r="E28" i="11"/>
  <c r="E48" i="11"/>
  <c r="E64" i="11"/>
  <c r="E110" i="11"/>
  <c r="E130" i="11"/>
  <c r="E146" i="11"/>
  <c r="E182" i="11"/>
  <c r="E246" i="11"/>
  <c r="E302" i="11"/>
  <c r="E358" i="11"/>
  <c r="E466" i="11"/>
  <c r="E248" i="11"/>
  <c r="E67" i="11"/>
  <c r="E169" i="11"/>
  <c r="E269" i="11"/>
  <c r="E433" i="11"/>
  <c r="E6" i="11"/>
  <c r="C75" i="19" s="1"/>
  <c r="E29" i="11"/>
  <c r="E49" i="11"/>
  <c r="E65" i="11"/>
  <c r="E85" i="11"/>
  <c r="E111" i="11"/>
  <c r="E131" i="11"/>
  <c r="E147" i="11"/>
  <c r="E167" i="11"/>
  <c r="E183" i="11"/>
  <c r="E207" i="11"/>
  <c r="E223" i="11"/>
  <c r="E247" i="11"/>
  <c r="E267" i="11"/>
  <c r="E283" i="11"/>
  <c r="E303" i="11"/>
  <c r="E319" i="11"/>
  <c r="E343" i="11"/>
  <c r="E359" i="11"/>
  <c r="E415" i="11"/>
  <c r="E467" i="11"/>
  <c r="E540" i="11"/>
  <c r="E112" i="11"/>
  <c r="E224" i="11"/>
  <c r="E344" i="11"/>
  <c r="E432" i="11"/>
  <c r="E530" i="11"/>
  <c r="E51" i="11"/>
  <c r="E149" i="11"/>
  <c r="E249" i="11"/>
  <c r="E361" i="11"/>
  <c r="E469" i="11"/>
  <c r="M48" i="14"/>
  <c r="F16" i="14" s="1"/>
  <c r="M80" i="5"/>
  <c r="E66" i="8"/>
  <c r="J44" i="8"/>
  <c r="C44" i="8"/>
  <c r="C55" i="8" s="1"/>
  <c r="D44" i="8"/>
  <c r="F65" i="8"/>
  <c r="I73" i="8"/>
  <c r="E56" i="8"/>
  <c r="C74" i="8"/>
  <c r="C65" i="8"/>
  <c r="C75" i="8"/>
  <c r="C71" i="8"/>
  <c r="C76" i="8"/>
  <c r="C77" i="8"/>
  <c r="C57" i="8"/>
  <c r="C70" i="8"/>
  <c r="E57" i="8"/>
  <c r="E55" i="8"/>
  <c r="C56" i="8"/>
  <c r="C69" i="8"/>
  <c r="D51" i="8"/>
  <c r="D52" i="8"/>
  <c r="E68" i="8"/>
  <c r="C13" i="9"/>
  <c r="C32" i="2" s="1"/>
  <c r="I32" i="2" s="1"/>
  <c r="F41" i="8"/>
  <c r="C52" i="8"/>
  <c r="C51" i="8"/>
  <c r="E53" i="8"/>
  <c r="E54" i="8"/>
  <c r="F38" i="8"/>
  <c r="F42" i="8"/>
  <c r="F39" i="8"/>
  <c r="E50" i="8"/>
  <c r="I50" i="8" s="1"/>
  <c r="E51" i="8"/>
  <c r="E58" i="8"/>
  <c r="E52" i="8"/>
  <c r="C54" i="8"/>
  <c r="C53" i="8"/>
  <c r="F40" i="8"/>
  <c r="B11" i="8"/>
  <c r="C10" i="8"/>
  <c r="E7" i="8"/>
  <c r="G52" i="9" s="1"/>
  <c r="B34" i="3"/>
  <c r="B30" i="3"/>
  <c r="B12" i="8"/>
  <c r="H56" i="8" s="1"/>
  <c r="C12" i="8"/>
  <c r="E8" i="8"/>
  <c r="G88" i="9" s="1"/>
  <c r="I497" i="2" s="1"/>
  <c r="B13" i="8"/>
  <c r="H57" i="8" s="1"/>
  <c r="C13" i="8"/>
  <c r="E15" i="8"/>
  <c r="B14" i="8"/>
  <c r="C14" i="8"/>
  <c r="B7" i="8"/>
  <c r="B15" i="8"/>
  <c r="D7" i="8"/>
  <c r="B8" i="8"/>
  <c r="C6" i="8"/>
  <c r="D8" i="8"/>
  <c r="B9" i="8"/>
  <c r="H53" i="8" s="1"/>
  <c r="C7" i="8"/>
  <c r="D15" i="8"/>
  <c r="B10" i="8"/>
  <c r="H54" i="8" s="1"/>
  <c r="C8" i="8"/>
  <c r="V12" i="6"/>
  <c r="V19" i="6" s="1"/>
  <c r="V20" i="6" s="1"/>
  <c r="B12" i="6"/>
  <c r="R12" i="6"/>
  <c r="R19" i="6" s="1"/>
  <c r="S18" i="6" s="1"/>
  <c r="L33" i="6" s="1"/>
  <c r="L54" i="6" s="1"/>
  <c r="D239" i="11" s="1"/>
  <c r="T12" i="6"/>
  <c r="T19" i="6" s="1"/>
  <c r="T20" i="6" s="1"/>
  <c r="N12" i="6"/>
  <c r="N19" i="6" s="1"/>
  <c r="N20" i="6" s="1"/>
  <c r="P12" i="6"/>
  <c r="P19" i="6" s="1"/>
  <c r="P20" i="6" s="1"/>
  <c r="J12" i="6"/>
  <c r="L12" i="6"/>
  <c r="X19" i="6"/>
  <c r="Y16" i="6" s="1"/>
  <c r="M37" i="6"/>
  <c r="M36" i="6"/>
  <c r="H15" i="5"/>
  <c r="B58" i="5" s="1"/>
  <c r="H16" i="5"/>
  <c r="H17" i="5"/>
  <c r="H18" i="5"/>
  <c r="H19" i="5"/>
  <c r="G78" i="5" s="1"/>
  <c r="H20" i="5"/>
  <c r="H14" i="5"/>
  <c r="G15" i="5"/>
  <c r="B68" i="5" s="1"/>
  <c r="G16" i="5"/>
  <c r="G17" i="5"/>
  <c r="E58" i="5" s="1"/>
  <c r="G18" i="5"/>
  <c r="C75" i="5" s="1"/>
  <c r="G19" i="5"/>
  <c r="G52" i="5" s="1"/>
  <c r="G20" i="5"/>
  <c r="D85" i="5" s="1"/>
  <c r="G14" i="5"/>
  <c r="F50" i="5" s="1"/>
  <c r="G76" i="5"/>
  <c r="B75" i="5"/>
  <c r="D73" i="5"/>
  <c r="D69" i="5"/>
  <c r="D67" i="5"/>
  <c r="G66" i="5"/>
  <c r="B64" i="5"/>
  <c r="G63" i="5"/>
  <c r="D62" i="5"/>
  <c r="B61" i="5"/>
  <c r="B60" i="5"/>
  <c r="B59" i="5"/>
  <c r="F58" i="5"/>
  <c r="D58" i="5"/>
  <c r="G57" i="5"/>
  <c r="G55" i="5"/>
  <c r="B55" i="5"/>
  <c r="F54" i="5"/>
  <c r="F53" i="5"/>
  <c r="F51" i="5"/>
  <c r="D51" i="5"/>
  <c r="B50" i="5"/>
  <c r="G49" i="5"/>
  <c r="G47" i="5"/>
  <c r="D47" i="5"/>
  <c r="G46" i="5"/>
  <c r="F46" i="5"/>
  <c r="B45" i="5"/>
  <c r="G44" i="5"/>
  <c r="D44" i="5"/>
  <c r="B44" i="5"/>
  <c r="B43" i="5"/>
  <c r="G42" i="5"/>
  <c r="F42" i="5"/>
  <c r="D41" i="5"/>
  <c r="C41" i="5"/>
  <c r="F40" i="5"/>
  <c r="B40" i="5"/>
  <c r="F39" i="5"/>
  <c r="B39" i="5"/>
  <c r="G38" i="5"/>
  <c r="F37" i="5"/>
  <c r="D37" i="5"/>
  <c r="C37" i="5"/>
  <c r="G36" i="5"/>
  <c r="F36" i="5"/>
  <c r="F35" i="5"/>
  <c r="D35" i="5"/>
  <c r="B35" i="5"/>
  <c r="F34" i="5"/>
  <c r="D34" i="5"/>
  <c r="F33" i="5"/>
  <c r="E33" i="5"/>
  <c r="D33" i="5"/>
  <c r="G32" i="5"/>
  <c r="F32" i="5"/>
  <c r="G31" i="5"/>
  <c r="F31" i="5"/>
  <c r="D31" i="5"/>
  <c r="B31" i="5"/>
  <c r="G30" i="5"/>
  <c r="C30" i="5"/>
  <c r="B30" i="5"/>
  <c r="G29" i="5"/>
  <c r="D29" i="5"/>
  <c r="B29" i="5"/>
  <c r="F28" i="5"/>
  <c r="D28" i="5"/>
  <c r="C28" i="5"/>
  <c r="G27" i="5"/>
  <c r="F27" i="5"/>
  <c r="B27" i="5"/>
  <c r="G26" i="5"/>
  <c r="F26" i="5"/>
  <c r="B26" i="5"/>
  <c r="G25" i="5"/>
  <c r="C25" i="5"/>
  <c r="U817" i="2" l="1"/>
  <c r="AA628" i="2"/>
  <c r="U822" i="2"/>
  <c r="AA633" i="2"/>
  <c r="U877" i="2"/>
  <c r="AA688" i="2"/>
  <c r="U866" i="2"/>
  <c r="AA677" i="2"/>
  <c r="U844" i="2"/>
  <c r="AA655" i="2"/>
  <c r="U15" i="6"/>
  <c r="B11" i="18"/>
  <c r="C35" i="19"/>
  <c r="C50" i="19"/>
  <c r="C49" i="19"/>
  <c r="C42" i="19"/>
  <c r="C47" i="19"/>
  <c r="C44" i="19"/>
  <c r="I34" i="6"/>
  <c r="I55" i="6" s="1"/>
  <c r="D271" i="11" s="1"/>
  <c r="C43" i="19"/>
  <c r="C41" i="19"/>
  <c r="C48" i="19"/>
  <c r="C38" i="19"/>
  <c r="C36" i="19"/>
  <c r="C46" i="19"/>
  <c r="C39" i="19"/>
  <c r="C45" i="19"/>
  <c r="C37" i="19"/>
  <c r="C40" i="19"/>
  <c r="G70" i="5"/>
  <c r="G79" i="5"/>
  <c r="D45" i="5"/>
  <c r="G48" i="5"/>
  <c r="G51" i="5"/>
  <c r="C56" i="5"/>
  <c r="H75" i="5"/>
  <c r="C27" i="5"/>
  <c r="B32" i="5"/>
  <c r="G35" i="5"/>
  <c r="G40" i="5"/>
  <c r="G45" i="5"/>
  <c r="D52" i="5"/>
  <c r="G56" i="5"/>
  <c r="D65" i="5"/>
  <c r="G71" i="5"/>
  <c r="G84" i="5"/>
  <c r="S15" i="6"/>
  <c r="D64" i="5"/>
  <c r="B71" i="5"/>
  <c r="G81" i="5"/>
  <c r="D25" i="5"/>
  <c r="G28" i="5"/>
  <c r="D30" i="5"/>
  <c r="G33" i="5"/>
  <c r="B38" i="5"/>
  <c r="D43" i="5"/>
  <c r="B49" i="5"/>
  <c r="C60" i="5"/>
  <c r="F25" i="5"/>
  <c r="D27" i="5"/>
  <c r="H28" i="5"/>
  <c r="F30" i="5"/>
  <c r="D32" i="5"/>
  <c r="B34" i="5"/>
  <c r="D36" i="5"/>
  <c r="F38" i="5"/>
  <c r="B41" i="5"/>
  <c r="F43" i="5"/>
  <c r="D46" i="5"/>
  <c r="D49" i="5"/>
  <c r="D57" i="5"/>
  <c r="D60" i="5"/>
  <c r="B66" i="5"/>
  <c r="B72" i="5"/>
  <c r="F47" i="5"/>
  <c r="D70" i="5"/>
  <c r="D26" i="5"/>
  <c r="B28" i="5"/>
  <c r="F29" i="5"/>
  <c r="C31" i="5"/>
  <c r="B33" i="5"/>
  <c r="G34" i="5"/>
  <c r="B37" i="5"/>
  <c r="D39" i="5"/>
  <c r="B42" i="5"/>
  <c r="F44" i="5"/>
  <c r="B47" i="5"/>
  <c r="G54" i="5"/>
  <c r="D63" i="5"/>
  <c r="C76" i="5"/>
  <c r="G61" i="5"/>
  <c r="E88" i="5"/>
  <c r="H44" i="5"/>
  <c r="B86" i="5"/>
  <c r="B83" i="5"/>
  <c r="D61" i="5"/>
  <c r="G64" i="5"/>
  <c r="G68" i="5"/>
  <c r="B73" i="5"/>
  <c r="G77" i="5"/>
  <c r="B88" i="5"/>
  <c r="C34" i="5"/>
  <c r="B36" i="5"/>
  <c r="G37" i="5"/>
  <c r="G39" i="5"/>
  <c r="G41" i="5"/>
  <c r="G43" i="5"/>
  <c r="F45" i="5"/>
  <c r="D50" i="5"/>
  <c r="B53" i="5"/>
  <c r="D56" i="5"/>
  <c r="G58" i="5"/>
  <c r="B65" i="5"/>
  <c r="B69" i="5"/>
  <c r="C73" i="5"/>
  <c r="B79" i="5"/>
  <c r="F78" i="5"/>
  <c r="D54" i="5"/>
  <c r="D38" i="5"/>
  <c r="D40" i="5"/>
  <c r="D42" i="5"/>
  <c r="C44" i="5"/>
  <c r="B46" i="5"/>
  <c r="B48" i="5"/>
  <c r="B51" i="5"/>
  <c r="G53" i="5"/>
  <c r="B57" i="5"/>
  <c r="G59" i="5"/>
  <c r="B63" i="5"/>
  <c r="G65" i="5"/>
  <c r="B70" i="5"/>
  <c r="B74" i="5"/>
  <c r="B81" i="5"/>
  <c r="L77" i="6"/>
  <c r="D18" i="18"/>
  <c r="J78" i="6"/>
  <c r="D17" i="18"/>
  <c r="J77" i="6"/>
  <c r="G82" i="6"/>
  <c r="H82" i="6"/>
  <c r="K82" i="6"/>
  <c r="J82" i="6"/>
  <c r="E82" i="6"/>
  <c r="B82" i="6"/>
  <c r="C82" i="6"/>
  <c r="I82" i="6"/>
  <c r="D82" i="6"/>
  <c r="F82" i="6"/>
  <c r="L82" i="6"/>
  <c r="L107" i="6"/>
  <c r="F84" i="6"/>
  <c r="I84" i="6"/>
  <c r="J84" i="6"/>
  <c r="E84" i="6"/>
  <c r="G84" i="6"/>
  <c r="B84" i="6"/>
  <c r="D84" i="6"/>
  <c r="L84" i="6"/>
  <c r="C84" i="6"/>
  <c r="H84" i="6"/>
  <c r="D15" i="18"/>
  <c r="J75" i="6"/>
  <c r="D13" i="18"/>
  <c r="J73" i="6"/>
  <c r="C86" i="6"/>
  <c r="H86" i="6"/>
  <c r="I86" i="6"/>
  <c r="B86" i="6"/>
  <c r="F86" i="6"/>
  <c r="J86" i="6"/>
  <c r="E86" i="6"/>
  <c r="L86" i="6"/>
  <c r="D86" i="6"/>
  <c r="K86" i="6"/>
  <c r="G86" i="6"/>
  <c r="D14" i="18"/>
  <c r="J74" i="6"/>
  <c r="J87" i="6"/>
  <c r="E87" i="6"/>
  <c r="H87" i="6"/>
  <c r="B87" i="6"/>
  <c r="C87" i="6"/>
  <c r="I87" i="6"/>
  <c r="D87" i="6"/>
  <c r="F87" i="6"/>
  <c r="G87" i="6"/>
  <c r="K87" i="6"/>
  <c r="L87" i="6"/>
  <c r="D16" i="18"/>
  <c r="J76" i="6"/>
  <c r="D19" i="18"/>
  <c r="J79" i="6"/>
  <c r="K84" i="6"/>
  <c r="L57" i="6"/>
  <c r="D344" i="11" s="1"/>
  <c r="E57" i="6"/>
  <c r="D337" i="11" s="1"/>
  <c r="F57" i="6"/>
  <c r="D338" i="11" s="1"/>
  <c r="G57" i="6"/>
  <c r="D339" i="11" s="1"/>
  <c r="H57" i="6"/>
  <c r="D340" i="11" s="1"/>
  <c r="I57" i="6"/>
  <c r="D341" i="11" s="1"/>
  <c r="B57" i="6"/>
  <c r="D334" i="11" s="1"/>
  <c r="J57" i="6"/>
  <c r="D342" i="11" s="1"/>
  <c r="C57" i="6"/>
  <c r="D335" i="11" s="1"/>
  <c r="K57" i="6"/>
  <c r="D343" i="11" s="1"/>
  <c r="D57" i="6"/>
  <c r="D336" i="11" s="1"/>
  <c r="D60" i="6"/>
  <c r="D441" i="11" s="1"/>
  <c r="L60" i="6"/>
  <c r="D449" i="11" s="1"/>
  <c r="E60" i="6"/>
  <c r="D442" i="11" s="1"/>
  <c r="F60" i="6"/>
  <c r="D443" i="11" s="1"/>
  <c r="G60" i="6"/>
  <c r="D444" i="11" s="1"/>
  <c r="H60" i="6"/>
  <c r="D445" i="11" s="1"/>
  <c r="B60" i="6"/>
  <c r="D439" i="11" s="1"/>
  <c r="J60" i="6"/>
  <c r="D447" i="11" s="1"/>
  <c r="C60" i="6"/>
  <c r="D440" i="11" s="1"/>
  <c r="K60" i="6"/>
  <c r="D448" i="11" s="1"/>
  <c r="I60" i="6"/>
  <c r="D446" i="11" s="1"/>
  <c r="U906" i="2"/>
  <c r="U916" i="2"/>
  <c r="U911" i="2"/>
  <c r="U901" i="2"/>
  <c r="U913" i="2"/>
  <c r="U903" i="2"/>
  <c r="U908" i="2"/>
  <c r="U918" i="2"/>
  <c r="U902" i="2"/>
  <c r="U912" i="2"/>
  <c r="U915" i="2"/>
  <c r="U905" i="2"/>
  <c r="U917" i="2"/>
  <c r="U907" i="2"/>
  <c r="U904" i="2"/>
  <c r="U914" i="2"/>
  <c r="U919" i="2"/>
  <c r="U909" i="2"/>
  <c r="J19" i="6"/>
  <c r="B19" i="6"/>
  <c r="L19" i="6"/>
  <c r="O37" i="2"/>
  <c r="AG352" i="2" s="1"/>
  <c r="O199" i="2"/>
  <c r="AG514" i="2" s="1"/>
  <c r="O206" i="2"/>
  <c r="AG521" i="2" s="1"/>
  <c r="O55" i="2"/>
  <c r="AG370" i="2" s="1"/>
  <c r="O103" i="2"/>
  <c r="AG418" i="2" s="1"/>
  <c r="O142" i="2"/>
  <c r="AG457" i="2" s="1"/>
  <c r="O30" i="2"/>
  <c r="AG345" i="2" s="1"/>
  <c r="O110" i="2"/>
  <c r="AG425" i="2" s="1"/>
  <c r="O78" i="2"/>
  <c r="AG393" i="2" s="1"/>
  <c r="O77" i="2"/>
  <c r="AG392" i="2" s="1"/>
  <c r="O140" i="2"/>
  <c r="AG455" i="2" s="1"/>
  <c r="O76" i="2"/>
  <c r="AG391" i="2" s="1"/>
  <c r="O99" i="2"/>
  <c r="AG414" i="2" s="1"/>
  <c r="O202" i="2"/>
  <c r="AG517" i="2" s="1"/>
  <c r="O74" i="2"/>
  <c r="AG389" i="2" s="1"/>
  <c r="O177" i="2"/>
  <c r="AG492" i="2" s="1"/>
  <c r="O184" i="2"/>
  <c r="AG499" i="2" s="1"/>
  <c r="O120" i="2"/>
  <c r="AG435" i="2" s="1"/>
  <c r="O56" i="2"/>
  <c r="AG371" i="2" s="1"/>
  <c r="O109" i="2"/>
  <c r="AG424" i="2" s="1"/>
  <c r="O125" i="2"/>
  <c r="AG440" i="2" s="1"/>
  <c r="O54" i="2"/>
  <c r="AG369" i="2" s="1"/>
  <c r="O175" i="2"/>
  <c r="AG490" i="2" s="1"/>
  <c r="O132" i="2"/>
  <c r="AG447" i="2" s="1"/>
  <c r="O155" i="2"/>
  <c r="AG470" i="2" s="1"/>
  <c r="O66" i="2"/>
  <c r="AG381" i="2" s="1"/>
  <c r="O169" i="2"/>
  <c r="AG484" i="2" s="1"/>
  <c r="O41" i="2"/>
  <c r="AG356" i="2" s="1"/>
  <c r="O176" i="2"/>
  <c r="AG491" i="2" s="1"/>
  <c r="O48" i="2"/>
  <c r="AG363" i="2" s="1"/>
  <c r="O87" i="2"/>
  <c r="AG402" i="2" s="1"/>
  <c r="O70" i="2"/>
  <c r="AG385" i="2" s="1"/>
  <c r="O63" i="2"/>
  <c r="AG378" i="2" s="1"/>
  <c r="O151" i="2"/>
  <c r="AG466" i="2" s="1"/>
  <c r="O133" i="2"/>
  <c r="AG448" i="2" s="1"/>
  <c r="O143" i="2"/>
  <c r="AG458" i="2" s="1"/>
  <c r="O188" i="2"/>
  <c r="AG503" i="2" s="1"/>
  <c r="O147" i="2"/>
  <c r="AG462" i="2" s="1"/>
  <c r="O186" i="2"/>
  <c r="AG501" i="2" s="1"/>
  <c r="O122" i="2"/>
  <c r="AG437" i="2" s="1"/>
  <c r="O33" i="2"/>
  <c r="AG348" i="2" s="1"/>
  <c r="O165" i="2"/>
  <c r="AG480" i="2" s="1"/>
  <c r="O111" i="2"/>
  <c r="AG426" i="2" s="1"/>
  <c r="O180" i="2"/>
  <c r="AG495" i="2" s="1"/>
  <c r="O52" i="2"/>
  <c r="AG367" i="2" s="1"/>
  <c r="O114" i="2"/>
  <c r="AG429" i="2" s="1"/>
  <c r="O153" i="2"/>
  <c r="AG468" i="2" s="1"/>
  <c r="O89" i="2"/>
  <c r="AG404" i="2" s="1"/>
  <c r="O96" i="2"/>
  <c r="AG411" i="2" s="1"/>
  <c r="O32" i="2"/>
  <c r="AG347" i="2" s="1"/>
  <c r="O85" i="2"/>
  <c r="AG400" i="2" s="1"/>
  <c r="O44" i="2"/>
  <c r="AG359" i="2" s="1"/>
  <c r="O195" i="2"/>
  <c r="AG510" i="2" s="1"/>
  <c r="O131" i="2"/>
  <c r="AG446" i="2" s="1"/>
  <c r="O67" i="2"/>
  <c r="AG382" i="2" s="1"/>
  <c r="O209" i="2"/>
  <c r="AG524" i="2" s="1"/>
  <c r="O81" i="2"/>
  <c r="AG396" i="2" s="1"/>
  <c r="O88" i="2"/>
  <c r="AG403" i="2" s="1"/>
  <c r="O197" i="2"/>
  <c r="AG512" i="2" s="1"/>
  <c r="O164" i="2"/>
  <c r="AG479" i="2" s="1"/>
  <c r="O100" i="2"/>
  <c r="AG415" i="2" s="1"/>
  <c r="O187" i="2"/>
  <c r="AG502" i="2" s="1"/>
  <c r="O59" i="2"/>
  <c r="AG374" i="2" s="1"/>
  <c r="O162" i="2"/>
  <c r="AG477" i="2" s="1"/>
  <c r="O98" i="2"/>
  <c r="AG413" i="2" s="1"/>
  <c r="O34" i="2"/>
  <c r="AG349" i="2" s="1"/>
  <c r="O208" i="2"/>
  <c r="AG523" i="2" s="1"/>
  <c r="O144" i="2"/>
  <c r="AG459" i="2" s="1"/>
  <c r="O198" i="2"/>
  <c r="AG513" i="2" s="1"/>
  <c r="O191" i="2"/>
  <c r="AG506" i="2" s="1"/>
  <c r="O158" i="2"/>
  <c r="AG473" i="2" s="1"/>
  <c r="O45" i="2"/>
  <c r="AG360" i="2" s="1"/>
  <c r="O173" i="2"/>
  <c r="AG488" i="2" s="1"/>
  <c r="O92" i="2"/>
  <c r="AG407" i="2" s="1"/>
  <c r="O154" i="2"/>
  <c r="AG469" i="2" s="1"/>
  <c r="O26" i="2"/>
  <c r="AG341" i="2" s="1"/>
  <c r="O129" i="2"/>
  <c r="AG444" i="2" s="1"/>
  <c r="O65" i="2"/>
  <c r="AG380" i="2" s="1"/>
  <c r="O136" i="2"/>
  <c r="AG451" i="2" s="1"/>
  <c r="O166" i="2"/>
  <c r="AG481" i="2" s="1"/>
  <c r="O118" i="2"/>
  <c r="AG433" i="2" s="1"/>
  <c r="O107" i="2"/>
  <c r="AG422" i="2" s="1"/>
  <c r="O43" i="2"/>
  <c r="AG358" i="2" s="1"/>
  <c r="O23" i="2"/>
  <c r="AG338" i="2" s="1"/>
  <c r="O121" i="2"/>
  <c r="AG436" i="2" s="1"/>
  <c r="O294" i="2"/>
  <c r="AG609" i="2" s="1"/>
  <c r="I78" i="6"/>
  <c r="U17" i="6"/>
  <c r="W17" i="6"/>
  <c r="K18" i="6"/>
  <c r="U16" i="6"/>
  <c r="K15" i="6"/>
  <c r="G231" i="9"/>
  <c r="O286" i="2"/>
  <c r="AG601" i="2" s="1"/>
  <c r="K14" i="6"/>
  <c r="K13" i="6"/>
  <c r="R20" i="6"/>
  <c r="K11" i="6"/>
  <c r="U18" i="6"/>
  <c r="L34" i="6" s="1"/>
  <c r="L55" i="6" s="1"/>
  <c r="D274" i="11" s="1"/>
  <c r="E109" i="6"/>
  <c r="E70" i="19" s="1"/>
  <c r="D26" i="18"/>
  <c r="I110" i="6"/>
  <c r="I71" i="19" s="1"/>
  <c r="D27" i="18"/>
  <c r="E104" i="6"/>
  <c r="D21" i="18"/>
  <c r="B107" i="6"/>
  <c r="B68" i="19" s="1"/>
  <c r="D24" i="18"/>
  <c r="I101" i="6"/>
  <c r="I107" i="6"/>
  <c r="I68" i="19" s="1"/>
  <c r="K104" i="6"/>
  <c r="I109" i="6"/>
  <c r="I70" i="19" s="1"/>
  <c r="K109" i="6"/>
  <c r="K70" i="19" s="1"/>
  <c r="S9" i="6"/>
  <c r="Q17" i="6"/>
  <c r="K110" i="6"/>
  <c r="K71" i="19" s="1"/>
  <c r="Q9" i="6"/>
  <c r="U14" i="6"/>
  <c r="E107" i="6"/>
  <c r="E68" i="19" s="1"/>
  <c r="O10" i="6"/>
  <c r="E110" i="6"/>
  <c r="E71" i="19" s="1"/>
  <c r="B104" i="6"/>
  <c r="B109" i="6"/>
  <c r="B70" i="19" s="1"/>
  <c r="Q13" i="6"/>
  <c r="U11" i="6"/>
  <c r="S17" i="6"/>
  <c r="U8" i="6"/>
  <c r="I104" i="6"/>
  <c r="B110" i="6"/>
  <c r="B71" i="19" s="1"/>
  <c r="K107" i="6"/>
  <c r="K68" i="19" s="1"/>
  <c r="Q10" i="6"/>
  <c r="W9" i="6"/>
  <c r="M9" i="6"/>
  <c r="Q18" i="6"/>
  <c r="L32" i="6" s="1"/>
  <c r="L44" i="14" s="1"/>
  <c r="M8" i="6"/>
  <c r="Q14" i="6"/>
  <c r="O14" i="6"/>
  <c r="S10" i="6"/>
  <c r="S7" i="6"/>
  <c r="S14" i="6"/>
  <c r="S8" i="6"/>
  <c r="S13" i="6"/>
  <c r="U10" i="6"/>
  <c r="M7" i="6"/>
  <c r="S11" i="6"/>
  <c r="U9" i="6"/>
  <c r="S16" i="6"/>
  <c r="L104" i="6"/>
  <c r="L100" i="6"/>
  <c r="L109" i="6"/>
  <c r="L110" i="6"/>
  <c r="D43" i="8"/>
  <c r="E80" i="8"/>
  <c r="E79" i="8"/>
  <c r="C50" i="8"/>
  <c r="G50" i="8" s="1"/>
  <c r="C79" i="8"/>
  <c r="C80" i="8"/>
  <c r="L44" i="8"/>
  <c r="D55" i="8"/>
  <c r="H55" i="8" s="1"/>
  <c r="W11" i="6"/>
  <c r="M14" i="6"/>
  <c r="W10" i="6"/>
  <c r="K7" i="6"/>
  <c r="O11" i="6"/>
  <c r="Q8" i="6"/>
  <c r="W15" i="6"/>
  <c r="M10" i="6"/>
  <c r="O16" i="6"/>
  <c r="W16" i="6"/>
  <c r="K17" i="6"/>
  <c r="K8" i="6"/>
  <c r="W13" i="6"/>
  <c r="W7" i="6"/>
  <c r="M13" i="6"/>
  <c r="K10" i="6"/>
  <c r="Q11" i="6"/>
  <c r="W18" i="6"/>
  <c r="L35" i="6" s="1"/>
  <c r="M11" i="6"/>
  <c r="K16" i="6"/>
  <c r="K9" i="6"/>
  <c r="O9" i="6"/>
  <c r="Q15" i="6"/>
  <c r="W14" i="6"/>
  <c r="M17" i="6"/>
  <c r="Q16" i="6"/>
  <c r="E34" i="3"/>
  <c r="E30" i="3"/>
  <c r="C35" i="5"/>
  <c r="C54" i="5"/>
  <c r="C71" i="5"/>
  <c r="C80" i="5"/>
  <c r="H76" i="5"/>
  <c r="C32" i="5"/>
  <c r="C38" i="5"/>
  <c r="C26" i="5"/>
  <c r="C29" i="5"/>
  <c r="H36" i="5"/>
  <c r="E41" i="5"/>
  <c r="C43" i="5"/>
  <c r="C46" i="5"/>
  <c r="C50" i="5"/>
  <c r="C52" i="5"/>
  <c r="C61" i="5"/>
  <c r="D66" i="5"/>
  <c r="C69" i="5"/>
  <c r="D71" i="5"/>
  <c r="C77" i="5"/>
  <c r="G80" i="5"/>
  <c r="G87" i="5"/>
  <c r="C40" i="5"/>
  <c r="C48" i="5"/>
  <c r="E71" i="5"/>
  <c r="C74" i="5"/>
  <c r="E77" i="5"/>
  <c r="C57" i="5"/>
  <c r="C59" i="5"/>
  <c r="C67" i="5"/>
  <c r="E74" i="5"/>
  <c r="C42" i="5"/>
  <c r="C45" i="5"/>
  <c r="C55" i="5"/>
  <c r="C70" i="5"/>
  <c r="C78" i="5"/>
  <c r="D82" i="5"/>
  <c r="E25" i="5"/>
  <c r="C33" i="5"/>
  <c r="C36" i="5"/>
  <c r="C39" i="5"/>
  <c r="C49" i="5"/>
  <c r="C51" i="5"/>
  <c r="D53" i="5"/>
  <c r="D55" i="5"/>
  <c r="G62" i="5"/>
  <c r="C65" i="5"/>
  <c r="G67" i="5"/>
  <c r="G72" i="5"/>
  <c r="G86" i="5"/>
  <c r="C82" i="5"/>
  <c r="F44" i="8"/>
  <c r="C64" i="8"/>
  <c r="C58" i="8"/>
  <c r="G58" i="8" s="1"/>
  <c r="O17" i="6"/>
  <c r="O13" i="6"/>
  <c r="O15" i="6"/>
  <c r="Q7" i="6"/>
  <c r="U13" i="6"/>
  <c r="U7" i="6"/>
  <c r="W8" i="6"/>
  <c r="H239" i="11"/>
  <c r="H249" i="11"/>
  <c r="H259" i="11"/>
  <c r="L45" i="14"/>
  <c r="O8" i="6"/>
  <c r="O18" i="6"/>
  <c r="L31" i="6" s="1"/>
  <c r="O7" i="6"/>
  <c r="I46" i="14"/>
  <c r="H84" i="5"/>
  <c r="G73" i="5"/>
  <c r="G75" i="5"/>
  <c r="B78" i="5"/>
  <c r="D80" i="5"/>
  <c r="G83" i="5"/>
  <c r="B89" i="5"/>
  <c r="B76" i="5"/>
  <c r="D89" i="5"/>
  <c r="F41" i="5"/>
  <c r="B52" i="5"/>
  <c r="B54" i="5"/>
  <c r="B56" i="5"/>
  <c r="H59" i="5"/>
  <c r="C62" i="5"/>
  <c r="C64" i="5"/>
  <c r="C66" i="5"/>
  <c r="C68" i="5"/>
  <c r="F70" i="5"/>
  <c r="D72" i="5"/>
  <c r="D74" i="5"/>
  <c r="D76" i="5"/>
  <c r="H78" i="5"/>
  <c r="D81" i="5"/>
  <c r="G85" i="5"/>
  <c r="F62" i="5"/>
  <c r="F66" i="5"/>
  <c r="F74" i="5"/>
  <c r="D79" i="5"/>
  <c r="D86" i="5"/>
  <c r="C88" i="5"/>
  <c r="H27" i="5"/>
  <c r="E32" i="5"/>
  <c r="H35" i="5"/>
  <c r="E40" i="5"/>
  <c r="H43" i="5"/>
  <c r="E47" i="5"/>
  <c r="H48" i="5"/>
  <c r="E51" i="5"/>
  <c r="H52" i="5"/>
  <c r="E61" i="5"/>
  <c r="H62" i="5"/>
  <c r="H68" i="5"/>
  <c r="H80" i="5"/>
  <c r="H82" i="5"/>
  <c r="E85" i="5"/>
  <c r="D88" i="5"/>
  <c r="E39" i="5"/>
  <c r="H42" i="5"/>
  <c r="E54" i="5"/>
  <c r="H55" i="5"/>
  <c r="E67" i="5"/>
  <c r="E70" i="5"/>
  <c r="H71" i="5"/>
  <c r="H74" i="5"/>
  <c r="H77" i="5"/>
  <c r="H33" i="5"/>
  <c r="E38" i="5"/>
  <c r="H41" i="5"/>
  <c r="E46" i="5"/>
  <c r="E50" i="5"/>
  <c r="E57" i="5"/>
  <c r="H58" i="5"/>
  <c r="H61" i="5"/>
  <c r="H64" i="5"/>
  <c r="E76" i="5"/>
  <c r="E79" i="5"/>
  <c r="H26" i="5"/>
  <c r="E30" i="5"/>
  <c r="H32" i="5"/>
  <c r="H40" i="5"/>
  <c r="E45" i="5"/>
  <c r="H47" i="5"/>
  <c r="E53" i="5"/>
  <c r="E60" i="5"/>
  <c r="E63" i="5"/>
  <c r="E66" i="5"/>
  <c r="H67" i="5"/>
  <c r="H73" i="5"/>
  <c r="E81" i="5"/>
  <c r="H83" i="5"/>
  <c r="H34" i="5"/>
  <c r="H25" i="5"/>
  <c r="E29" i="5"/>
  <c r="E37" i="5"/>
  <c r="E28" i="5"/>
  <c r="H31" i="5"/>
  <c r="E36" i="5"/>
  <c r="H39" i="5"/>
  <c r="E44" i="5"/>
  <c r="E49" i="5"/>
  <c r="H50" i="5"/>
  <c r="H54" i="5"/>
  <c r="H57" i="5"/>
  <c r="H60" i="5"/>
  <c r="E69" i="5"/>
  <c r="E72" i="5"/>
  <c r="D75" i="5"/>
  <c r="D78" i="5"/>
  <c r="B80" i="5"/>
  <c r="B84" i="5"/>
  <c r="B87" i="5"/>
  <c r="E31" i="5"/>
  <c r="E27" i="5"/>
  <c r="H30" i="5"/>
  <c r="E35" i="5"/>
  <c r="H38" i="5"/>
  <c r="E43" i="5"/>
  <c r="H46" i="5"/>
  <c r="E56" i="5"/>
  <c r="E59" i="5"/>
  <c r="E62" i="5"/>
  <c r="H63" i="5"/>
  <c r="H69" i="5"/>
  <c r="E75" i="5"/>
  <c r="B77" i="5"/>
  <c r="E78" i="5"/>
  <c r="B82" i="5"/>
  <c r="E84" i="5"/>
  <c r="D87" i="5"/>
  <c r="E26" i="5"/>
  <c r="H29" i="5"/>
  <c r="E34" i="5"/>
  <c r="H37" i="5"/>
  <c r="E42" i="5"/>
  <c r="H45" i="5"/>
  <c r="E48" i="5"/>
  <c r="H49" i="5"/>
  <c r="E52" i="5"/>
  <c r="H53" i="5"/>
  <c r="E65" i="5"/>
  <c r="H66" i="5"/>
  <c r="E68" i="5"/>
  <c r="H72" i="5"/>
  <c r="B25" i="5"/>
  <c r="F88" i="5"/>
  <c r="D84" i="5"/>
  <c r="E43" i="8"/>
  <c r="F43" i="8" s="1"/>
  <c r="E75" i="8"/>
  <c r="E76" i="8"/>
  <c r="E74" i="8"/>
  <c r="E77" i="8"/>
  <c r="E71" i="8"/>
  <c r="E65" i="8"/>
  <c r="I65" i="8" s="1"/>
  <c r="D58" i="8"/>
  <c r="H58" i="8" s="1"/>
  <c r="D50" i="8"/>
  <c r="H50" i="8" s="1"/>
  <c r="E64" i="8"/>
  <c r="H51" i="8"/>
  <c r="F56" i="8"/>
  <c r="I55" i="8"/>
  <c r="H52" i="8"/>
  <c r="F57" i="8"/>
  <c r="I397" i="2"/>
  <c r="G66" i="9"/>
  <c r="I475" i="2" s="1"/>
  <c r="G42" i="9"/>
  <c r="G210" i="9"/>
  <c r="G30" i="9"/>
  <c r="G130" i="9"/>
  <c r="I411" i="2" s="1"/>
  <c r="G54" i="9"/>
  <c r="G132" i="9"/>
  <c r="I477" i="2" s="1"/>
  <c r="G77" i="9"/>
  <c r="I486" i="2" s="1"/>
  <c r="G176" i="9"/>
  <c r="I479" i="2" s="1"/>
  <c r="G51" i="8"/>
  <c r="G13" i="9"/>
  <c r="I52" i="8"/>
  <c r="I58" i="8"/>
  <c r="I57" i="8"/>
  <c r="I51" i="8"/>
  <c r="G57" i="8"/>
  <c r="F54" i="8"/>
  <c r="G54" i="8"/>
  <c r="G52" i="8"/>
  <c r="C166" i="9"/>
  <c r="C97" i="2" s="1"/>
  <c r="I97" i="2" s="1"/>
  <c r="G55" i="8"/>
  <c r="I54" i="8"/>
  <c r="F53" i="8"/>
  <c r="G53" i="8"/>
  <c r="G56" i="8"/>
  <c r="I53" i="8"/>
  <c r="I56" i="8"/>
  <c r="G51" i="9"/>
  <c r="G55" i="9"/>
  <c r="F51" i="8"/>
  <c r="F52" i="8"/>
  <c r="G48" i="9"/>
  <c r="G56" i="9"/>
  <c r="G49" i="9"/>
  <c r="G57" i="9"/>
  <c r="G50" i="9"/>
  <c r="G53" i="9"/>
  <c r="G206" i="9"/>
  <c r="I414" i="2" s="1"/>
  <c r="G29" i="9"/>
  <c r="G174" i="9"/>
  <c r="I413" i="2" s="1"/>
  <c r="G27" i="9"/>
  <c r="I243" i="2" s="1"/>
  <c r="G33" i="9"/>
  <c r="G35" i="9"/>
  <c r="I507" i="2" s="1"/>
  <c r="G32" i="9"/>
  <c r="G36" i="9"/>
  <c r="G26" i="9"/>
  <c r="I210" i="2" s="1"/>
  <c r="G31" i="9"/>
  <c r="G34" i="9"/>
  <c r="G43" i="9"/>
  <c r="C15" i="8"/>
  <c r="G44" i="9"/>
  <c r="G38" i="9"/>
  <c r="I254" i="2" s="1"/>
  <c r="G39" i="9"/>
  <c r="G45" i="9"/>
  <c r="G46" i="9"/>
  <c r="G41" i="9"/>
  <c r="G47" i="9"/>
  <c r="G208" i="9"/>
  <c r="I480" i="2" s="1"/>
  <c r="G37" i="9"/>
  <c r="G40" i="9"/>
  <c r="G28" i="9"/>
  <c r="C10" i="6"/>
  <c r="C8" i="6"/>
  <c r="C14" i="6"/>
  <c r="C9" i="6"/>
  <c r="C13" i="6"/>
  <c r="C16" i="6"/>
  <c r="C18" i="6"/>
  <c r="B20" i="6"/>
  <c r="C7" i="6"/>
  <c r="C17" i="6"/>
  <c r="C11" i="6"/>
  <c r="C15" i="6"/>
  <c r="C79" i="5"/>
  <c r="E80" i="5"/>
  <c r="H81" i="5"/>
  <c r="D83" i="5"/>
  <c r="B85" i="5"/>
  <c r="H86" i="5"/>
  <c r="G88" i="5"/>
  <c r="H88" i="5"/>
  <c r="C87" i="5"/>
  <c r="E89" i="5"/>
  <c r="C47" i="5"/>
  <c r="D48" i="5"/>
  <c r="F49" i="5"/>
  <c r="G50" i="5"/>
  <c r="H51" i="5"/>
  <c r="C53" i="5"/>
  <c r="E55" i="5"/>
  <c r="H56" i="5"/>
  <c r="C58" i="5"/>
  <c r="D59" i="5"/>
  <c r="G60" i="5"/>
  <c r="B62" i="5"/>
  <c r="C63" i="5"/>
  <c r="E64" i="5"/>
  <c r="H65" i="5"/>
  <c r="B67" i="5"/>
  <c r="D68" i="5"/>
  <c r="G69" i="5"/>
  <c r="H70" i="5"/>
  <c r="C72" i="5"/>
  <c r="E73" i="5"/>
  <c r="G74" i="5"/>
  <c r="D77" i="5"/>
  <c r="H79" i="5"/>
  <c r="C81" i="5"/>
  <c r="G82" i="5"/>
  <c r="H85" i="5"/>
  <c r="H87" i="5"/>
  <c r="G89" i="5"/>
  <c r="H89" i="5"/>
  <c r="C83" i="5"/>
  <c r="M15" i="6"/>
  <c r="M16" i="6"/>
  <c r="G221" i="9"/>
  <c r="M18" i="6"/>
  <c r="L30" i="6" s="1"/>
  <c r="G75" i="9"/>
  <c r="I420" i="2" s="1"/>
  <c r="G64" i="9"/>
  <c r="I409" i="2" s="1"/>
  <c r="G227" i="9"/>
  <c r="I436" i="2" s="1"/>
  <c r="G217" i="9"/>
  <c r="I425" i="2" s="1"/>
  <c r="G185" i="9"/>
  <c r="I424" i="2" s="1"/>
  <c r="G195" i="9"/>
  <c r="I435" i="2" s="1"/>
  <c r="G86" i="9"/>
  <c r="I431" i="2" s="1"/>
  <c r="G152" i="9"/>
  <c r="I433" i="2" s="1"/>
  <c r="G141" i="9"/>
  <c r="I422" i="2" s="1"/>
  <c r="G97" i="9"/>
  <c r="I410" i="2" s="1"/>
  <c r="G108" i="9"/>
  <c r="I421" i="2" s="1"/>
  <c r="G119" i="9"/>
  <c r="I432" i="2" s="1"/>
  <c r="Y11" i="6"/>
  <c r="Y10" i="6"/>
  <c r="Y9" i="6"/>
  <c r="Y18" i="6"/>
  <c r="Y7" i="6"/>
  <c r="Y15" i="6"/>
  <c r="Y17" i="6"/>
  <c r="Y8" i="6"/>
  <c r="X20" i="6"/>
  <c r="Y13" i="6"/>
  <c r="Y14" i="6"/>
  <c r="C86" i="5"/>
  <c r="E86" i="5"/>
  <c r="F57" i="5"/>
  <c r="F61" i="5"/>
  <c r="F65" i="5"/>
  <c r="F69" i="5"/>
  <c r="F73" i="5"/>
  <c r="F77" i="5"/>
  <c r="F81" i="5"/>
  <c r="F83" i="5"/>
  <c r="F85" i="5"/>
  <c r="F87" i="5"/>
  <c r="F89" i="5"/>
  <c r="F48" i="5"/>
  <c r="F52" i="5"/>
  <c r="F56" i="5"/>
  <c r="F60" i="5"/>
  <c r="F64" i="5"/>
  <c r="F68" i="5"/>
  <c r="F72" i="5"/>
  <c r="F76" i="5"/>
  <c r="F80" i="5"/>
  <c r="F55" i="5"/>
  <c r="F59" i="5"/>
  <c r="F63" i="5"/>
  <c r="F67" i="5"/>
  <c r="F71" i="5"/>
  <c r="F75" i="5"/>
  <c r="F79" i="5"/>
  <c r="F82" i="5"/>
  <c r="F84" i="5"/>
  <c r="F86" i="5"/>
  <c r="E83" i="5"/>
  <c r="C85" i="5"/>
  <c r="E87" i="5"/>
  <c r="C89" i="5"/>
  <c r="E82" i="5"/>
  <c r="C84" i="5"/>
  <c r="U547" i="2" l="1"/>
  <c r="AA358" i="2"/>
  <c r="U712" i="2"/>
  <c r="AA523" i="2"/>
  <c r="U589" i="2"/>
  <c r="AA400" i="2"/>
  <c r="U615" i="2"/>
  <c r="AA426" i="2"/>
  <c r="U637" i="2"/>
  <c r="AA448" i="2"/>
  <c r="U560" i="2"/>
  <c r="AA371" i="2"/>
  <c r="U644" i="2"/>
  <c r="AA455" i="2"/>
  <c r="U710" i="2"/>
  <c r="AA521" i="2"/>
  <c r="U611" i="2"/>
  <c r="AA422" i="2"/>
  <c r="U596" i="2"/>
  <c r="AA407" i="2"/>
  <c r="U538" i="2"/>
  <c r="AA349" i="2"/>
  <c r="U592" i="2"/>
  <c r="AA403" i="2"/>
  <c r="U536" i="2"/>
  <c r="AA347" i="2"/>
  <c r="U669" i="2"/>
  <c r="AA480" i="2"/>
  <c r="U655" i="2"/>
  <c r="AA466" i="2"/>
  <c r="U570" i="2"/>
  <c r="AA381" i="2"/>
  <c r="U624" i="2"/>
  <c r="AA435" i="2"/>
  <c r="U581" i="2"/>
  <c r="AA392" i="2"/>
  <c r="U703" i="2"/>
  <c r="AA514" i="2"/>
  <c r="U790" i="2"/>
  <c r="AA601" i="2"/>
  <c r="U695" i="2"/>
  <c r="AA506" i="2"/>
  <c r="U618" i="2"/>
  <c r="AA429" i="2"/>
  <c r="U530" i="2"/>
  <c r="AA341" i="2"/>
  <c r="U668" i="2"/>
  <c r="AA479" i="2"/>
  <c r="U548" i="2"/>
  <c r="AA359" i="2"/>
  <c r="U647" i="2"/>
  <c r="AA458" i="2"/>
  <c r="U613" i="2"/>
  <c r="AA424" i="2"/>
  <c r="U559" i="2"/>
  <c r="AA370" i="2"/>
  <c r="U622" i="2"/>
  <c r="AA433" i="2"/>
  <c r="U677" i="2"/>
  <c r="AA488" i="2"/>
  <c r="U602" i="2"/>
  <c r="AA413" i="2"/>
  <c r="U585" i="2"/>
  <c r="AA396" i="2"/>
  <c r="U600" i="2"/>
  <c r="AA411" i="2"/>
  <c r="U537" i="2"/>
  <c r="AA348" i="2"/>
  <c r="U567" i="2"/>
  <c r="AA378" i="2"/>
  <c r="U659" i="2"/>
  <c r="AA470" i="2"/>
  <c r="U688" i="2"/>
  <c r="AA499" i="2"/>
  <c r="U582" i="2"/>
  <c r="AA393" i="2"/>
  <c r="U541" i="2"/>
  <c r="AA352" i="2"/>
  <c r="U569" i="2"/>
  <c r="AA380" i="2"/>
  <c r="U635" i="2"/>
  <c r="AA446" i="2"/>
  <c r="U651" i="2"/>
  <c r="AA462" i="2"/>
  <c r="U552" i="2"/>
  <c r="AA363" i="2"/>
  <c r="U558" i="2"/>
  <c r="AA369" i="2"/>
  <c r="U706" i="2"/>
  <c r="AA517" i="2"/>
  <c r="U646" i="2"/>
  <c r="AA457" i="2"/>
  <c r="U527" i="2"/>
  <c r="AA338" i="2"/>
  <c r="U648" i="2"/>
  <c r="AA459" i="2"/>
  <c r="U684" i="2"/>
  <c r="AA495" i="2"/>
  <c r="U545" i="2"/>
  <c r="AA356" i="2"/>
  <c r="U580" i="2"/>
  <c r="AA391" i="2"/>
  <c r="U670" i="2"/>
  <c r="AA481" i="2"/>
  <c r="U549" i="2"/>
  <c r="AA360" i="2"/>
  <c r="U666" i="2"/>
  <c r="AA477" i="2"/>
  <c r="U713" i="2"/>
  <c r="AA524" i="2"/>
  <c r="U593" i="2"/>
  <c r="AA404" i="2"/>
  <c r="U626" i="2"/>
  <c r="AA437" i="2"/>
  <c r="U574" i="2"/>
  <c r="AA385" i="2"/>
  <c r="U636" i="2"/>
  <c r="AA447" i="2"/>
  <c r="U681" i="2"/>
  <c r="AA492" i="2"/>
  <c r="U614" i="2"/>
  <c r="AA425" i="2"/>
  <c r="U798" i="2"/>
  <c r="AA609" i="2"/>
  <c r="U691" i="2"/>
  <c r="AA502" i="2"/>
  <c r="U625" i="2"/>
  <c r="AA436" i="2"/>
  <c r="U633" i="2"/>
  <c r="AA444" i="2"/>
  <c r="U702" i="2"/>
  <c r="AA513" i="2"/>
  <c r="U604" i="2"/>
  <c r="AA415" i="2"/>
  <c r="U699" i="2"/>
  <c r="AA510" i="2"/>
  <c r="U556" i="2"/>
  <c r="AA367" i="2"/>
  <c r="U692" i="2"/>
  <c r="AA503" i="2"/>
  <c r="U680" i="2"/>
  <c r="AA491" i="2"/>
  <c r="U629" i="2"/>
  <c r="AA440" i="2"/>
  <c r="U603" i="2"/>
  <c r="AA414" i="2"/>
  <c r="U607" i="2"/>
  <c r="AA418" i="2"/>
  <c r="U658" i="2"/>
  <c r="AA469" i="2"/>
  <c r="U701" i="2"/>
  <c r="AA512" i="2"/>
  <c r="U673" i="2"/>
  <c r="AA484" i="2"/>
  <c r="U640" i="2"/>
  <c r="AA451" i="2"/>
  <c r="U662" i="2"/>
  <c r="AA473" i="2"/>
  <c r="U563" i="2"/>
  <c r="AA374" i="2"/>
  <c r="U571" i="2"/>
  <c r="AA382" i="2"/>
  <c r="U657" i="2"/>
  <c r="AA468" i="2"/>
  <c r="U690" i="2"/>
  <c r="AA501" i="2"/>
  <c r="U591" i="2"/>
  <c r="AA402" i="2"/>
  <c r="U679" i="2"/>
  <c r="AA490" i="2"/>
  <c r="U578" i="2"/>
  <c r="AA389" i="2"/>
  <c r="U534" i="2"/>
  <c r="AA345" i="2"/>
  <c r="C31" i="6"/>
  <c r="C52" i="6" s="1"/>
  <c r="D158" i="11" s="1"/>
  <c r="B32" i="6"/>
  <c r="B53" i="6" s="1"/>
  <c r="D193" i="11" s="1"/>
  <c r="F30" i="6"/>
  <c r="F51" i="6" s="1"/>
  <c r="D125" i="11" s="1"/>
  <c r="E35" i="6"/>
  <c r="D34" i="6"/>
  <c r="D55" i="6" s="1"/>
  <c r="D266" i="11" s="1"/>
  <c r="E33" i="6"/>
  <c r="E54" i="6" s="1"/>
  <c r="D232" i="11" s="1"/>
  <c r="E31" i="6"/>
  <c r="E52" i="6" s="1"/>
  <c r="D160" i="11" s="1"/>
  <c r="O444" i="2" s="1"/>
  <c r="AG70" i="2" s="1"/>
  <c r="I31" i="6"/>
  <c r="I52" i="6" s="1"/>
  <c r="D164" i="11" s="1"/>
  <c r="H30" i="6"/>
  <c r="F33" i="6"/>
  <c r="H31" i="6"/>
  <c r="H43" i="14" s="1"/>
  <c r="C34" i="6"/>
  <c r="C55" i="6" s="1"/>
  <c r="D265" i="11" s="1"/>
  <c r="K30" i="6"/>
  <c r="K51" i="6" s="1"/>
  <c r="D130" i="11" s="1"/>
  <c r="F32" i="6"/>
  <c r="G172" i="9" s="1"/>
  <c r="I347" i="2" s="1"/>
  <c r="F35" i="6"/>
  <c r="G106" i="9" s="1"/>
  <c r="I355" i="2" s="1"/>
  <c r="B30" i="6"/>
  <c r="B74" i="6" s="1"/>
  <c r="H32" i="6"/>
  <c r="K33" i="6"/>
  <c r="K77" i="6" s="1"/>
  <c r="H34" i="6"/>
  <c r="H78" i="6" s="1"/>
  <c r="I30" i="6"/>
  <c r="I51" i="6" s="1"/>
  <c r="D128" i="11" s="1"/>
  <c r="O437" i="2" s="1"/>
  <c r="AG63" i="2" s="1"/>
  <c r="H35" i="6"/>
  <c r="H56" i="6" s="1"/>
  <c r="D305" i="11" s="1"/>
  <c r="E30" i="6"/>
  <c r="E74" i="6" s="1"/>
  <c r="E34" i="6"/>
  <c r="E78" i="6" s="1"/>
  <c r="C30" i="6"/>
  <c r="C74" i="6" s="1"/>
  <c r="F34" i="6"/>
  <c r="D32" i="6"/>
  <c r="D53" i="6" s="1"/>
  <c r="D195" i="11" s="1"/>
  <c r="I32" i="6"/>
  <c r="I53" i="6" s="1"/>
  <c r="D200" i="11" s="1"/>
  <c r="G30" i="6"/>
  <c r="G51" i="6" s="1"/>
  <c r="D126" i="11" s="1"/>
  <c r="I35" i="6"/>
  <c r="G120" i="9" s="1"/>
  <c r="I465" i="2" s="1"/>
  <c r="G33" i="6"/>
  <c r="G54" i="6" s="1"/>
  <c r="D234" i="11" s="1"/>
  <c r="G32" i="6"/>
  <c r="G76" i="6" s="1"/>
  <c r="C35" i="6"/>
  <c r="C79" i="6" s="1"/>
  <c r="G31" i="6"/>
  <c r="D31" i="6"/>
  <c r="D75" i="6" s="1"/>
  <c r="B35" i="6"/>
  <c r="O298" i="2" s="1"/>
  <c r="AG613" i="2" s="1"/>
  <c r="C32" i="6"/>
  <c r="C76" i="6" s="1"/>
  <c r="C33" i="6"/>
  <c r="C77" i="6" s="1"/>
  <c r="D30" i="6"/>
  <c r="B88" i="8" s="1"/>
  <c r="K32" i="6"/>
  <c r="B31" i="6"/>
  <c r="B75" i="6" s="1"/>
  <c r="B34" i="6"/>
  <c r="G35" i="6"/>
  <c r="G56" i="6" s="1"/>
  <c r="D304" i="11" s="1"/>
  <c r="F31" i="6"/>
  <c r="F75" i="6" s="1"/>
  <c r="H33" i="6"/>
  <c r="H54" i="6" s="1"/>
  <c r="D235" i="11" s="1"/>
  <c r="D35" i="6"/>
  <c r="D33" i="6"/>
  <c r="G223" i="9" s="1"/>
  <c r="I304" i="2" s="1"/>
  <c r="K35" i="6"/>
  <c r="I33" i="6"/>
  <c r="C34" i="19"/>
  <c r="C51" i="19" s="1"/>
  <c r="G34" i="6"/>
  <c r="G55" i="6" s="1"/>
  <c r="D269" i="11" s="1"/>
  <c r="K31" i="6"/>
  <c r="K52" i="6" s="1"/>
  <c r="D166" i="11" s="1"/>
  <c r="B33" i="6"/>
  <c r="B54" i="6" s="1"/>
  <c r="D229" i="11" s="1"/>
  <c r="E32" i="6"/>
  <c r="E53" i="6" s="1"/>
  <c r="D196" i="11" s="1"/>
  <c r="K34" i="6"/>
  <c r="K55" i="6" s="1"/>
  <c r="D273" i="11" s="1"/>
  <c r="F55" i="8"/>
  <c r="O514" i="2"/>
  <c r="AG140" i="2" s="1"/>
  <c r="I66" i="19"/>
  <c r="E26" i="18"/>
  <c r="L70" i="19"/>
  <c r="O516" i="2"/>
  <c r="AG142" i="2" s="1"/>
  <c r="K66" i="19"/>
  <c r="C120" i="2"/>
  <c r="I120" i="2" s="1"/>
  <c r="L61" i="19"/>
  <c r="E27" i="18"/>
  <c r="L71" i="19"/>
  <c r="C139" i="2"/>
  <c r="I139" i="2" s="1"/>
  <c r="I62" i="19"/>
  <c r="C153" i="2"/>
  <c r="I153" i="2" s="1"/>
  <c r="L66" i="19"/>
  <c r="C143" i="2"/>
  <c r="I143" i="2" s="1"/>
  <c r="B66" i="19"/>
  <c r="C146" i="2"/>
  <c r="I146" i="2" s="1"/>
  <c r="E66" i="19"/>
  <c r="E24" i="18"/>
  <c r="L68" i="19"/>
  <c r="G189" i="9"/>
  <c r="L79" i="6"/>
  <c r="L56" i="6"/>
  <c r="D309" i="11" s="1"/>
  <c r="H74" i="6"/>
  <c r="H51" i="6"/>
  <c r="D127" i="11" s="1"/>
  <c r="F77" i="6"/>
  <c r="F54" i="6"/>
  <c r="D233" i="11" s="1"/>
  <c r="F50" i="8"/>
  <c r="F76" i="6"/>
  <c r="F53" i="6"/>
  <c r="D197" i="11" s="1"/>
  <c r="F56" i="6"/>
  <c r="D303" i="11" s="1"/>
  <c r="H76" i="6"/>
  <c r="H53" i="6"/>
  <c r="D199" i="11" s="1"/>
  <c r="K54" i="6"/>
  <c r="D238" i="11" s="1"/>
  <c r="G178" i="9"/>
  <c r="L74" i="6"/>
  <c r="L51" i="6"/>
  <c r="D131" i="11" s="1"/>
  <c r="B52" i="6"/>
  <c r="D157" i="11" s="1"/>
  <c r="H79" i="6"/>
  <c r="E51" i="6"/>
  <c r="D124" i="11" s="1"/>
  <c r="O433" i="2" s="1"/>
  <c r="AG59" i="2" s="1"/>
  <c r="D76" i="6"/>
  <c r="B78" i="6"/>
  <c r="B55" i="6"/>
  <c r="D264" i="11" s="1"/>
  <c r="G53" i="6"/>
  <c r="D198" i="11" s="1"/>
  <c r="G98" i="9"/>
  <c r="I443" i="2" s="1"/>
  <c r="D52" i="6"/>
  <c r="D159" i="11" s="1"/>
  <c r="D51" i="6"/>
  <c r="D123" i="11" s="1"/>
  <c r="G75" i="6"/>
  <c r="G52" i="6"/>
  <c r="D162" i="11" s="1"/>
  <c r="L76" i="6"/>
  <c r="L53" i="6"/>
  <c r="D203" i="11" s="1"/>
  <c r="O462" i="2" s="1"/>
  <c r="AG88" i="2" s="1"/>
  <c r="G116" i="9"/>
  <c r="I333" i="2" s="1"/>
  <c r="I74" i="6"/>
  <c r="C90" i="8"/>
  <c r="F52" i="6"/>
  <c r="D161" i="11" s="1"/>
  <c r="L75" i="6"/>
  <c r="L52" i="6"/>
  <c r="D167" i="11" s="1"/>
  <c r="G226" i="9"/>
  <c r="I403" i="2" s="1"/>
  <c r="E75" i="6"/>
  <c r="M87" i="6"/>
  <c r="D23" i="18"/>
  <c r="E83" i="6"/>
  <c r="J83" i="6"/>
  <c r="F83" i="6"/>
  <c r="B83" i="6"/>
  <c r="L83" i="6"/>
  <c r="H83" i="6"/>
  <c r="I83" i="6"/>
  <c r="C83" i="6"/>
  <c r="G83" i="6"/>
  <c r="D83" i="6"/>
  <c r="K83" i="6"/>
  <c r="M84" i="6"/>
  <c r="H80" i="6"/>
  <c r="C80" i="6"/>
  <c r="L80" i="6"/>
  <c r="B80" i="6"/>
  <c r="I80" i="6"/>
  <c r="D80" i="6"/>
  <c r="J80" i="6"/>
  <c r="E80" i="6"/>
  <c r="G80" i="6"/>
  <c r="F80" i="6"/>
  <c r="K80" i="6"/>
  <c r="M86" i="6"/>
  <c r="M82" i="6"/>
  <c r="F27" i="6"/>
  <c r="O214" i="2" s="1"/>
  <c r="AG529" i="2" s="1"/>
  <c r="H27" i="6"/>
  <c r="E29" i="6"/>
  <c r="E50" i="6" s="1"/>
  <c r="D78" i="11" s="1"/>
  <c r="H29" i="6"/>
  <c r="K27" i="6"/>
  <c r="G263" i="9" s="1"/>
  <c r="I516" i="2" s="1"/>
  <c r="M61" i="6"/>
  <c r="C27" i="6"/>
  <c r="B27" i="6"/>
  <c r="O210" i="2" s="1"/>
  <c r="AG525" i="2" s="1"/>
  <c r="E27" i="6"/>
  <c r="O213" i="2" s="1"/>
  <c r="AG528" i="2" s="1"/>
  <c r="D29" i="6"/>
  <c r="H88" i="11" s="1"/>
  <c r="I29" i="6"/>
  <c r="I50" i="6" s="1"/>
  <c r="D82" i="11" s="1"/>
  <c r="L20" i="6"/>
  <c r="M64" i="6" s="1"/>
  <c r="L27" i="6"/>
  <c r="H14" i="11" s="1"/>
  <c r="C29" i="6"/>
  <c r="C50" i="6" s="1"/>
  <c r="D76" i="11" s="1"/>
  <c r="B29" i="6"/>
  <c r="O232" i="2" s="1"/>
  <c r="J27" i="6"/>
  <c r="O218" i="2" s="1"/>
  <c r="AG533" i="2" s="1"/>
  <c r="M60" i="6"/>
  <c r="K29" i="6"/>
  <c r="K50" i="6" s="1"/>
  <c r="D84" i="11" s="1"/>
  <c r="F29" i="6"/>
  <c r="F50" i="6" s="1"/>
  <c r="D79" i="11" s="1"/>
  <c r="L29" i="6"/>
  <c r="L50" i="6" s="1"/>
  <c r="D85" i="11" s="1"/>
  <c r="B20" i="3"/>
  <c r="B34" i="19" s="1"/>
  <c r="M63" i="6"/>
  <c r="G27" i="6"/>
  <c r="O215" i="2" s="1"/>
  <c r="AG530" i="2" s="1"/>
  <c r="I27" i="6"/>
  <c r="D27" i="6"/>
  <c r="O212" i="2" s="1"/>
  <c r="AG527" i="2" s="1"/>
  <c r="G29" i="6"/>
  <c r="J20" i="6"/>
  <c r="C152" i="2"/>
  <c r="I152" i="2" s="1"/>
  <c r="O255" i="2"/>
  <c r="AG570" i="2" s="1"/>
  <c r="C75" i="6"/>
  <c r="O292" i="2"/>
  <c r="AG607" i="2" s="1"/>
  <c r="G78" i="6"/>
  <c r="O248" i="2"/>
  <c r="AG563" i="2" s="1"/>
  <c r="O305" i="2"/>
  <c r="AG620" i="2" s="1"/>
  <c r="O265" i="2"/>
  <c r="AG580" i="2" s="1"/>
  <c r="B76" i="6"/>
  <c r="O281" i="2"/>
  <c r="AG596" i="2" s="1"/>
  <c r="G77" i="6"/>
  <c r="O296" i="2"/>
  <c r="AG611" i="2" s="1"/>
  <c r="O291" i="2"/>
  <c r="AG606" i="2" s="1"/>
  <c r="F78" i="6"/>
  <c r="K101" i="6"/>
  <c r="O216" i="2"/>
  <c r="AG531" i="2" s="1"/>
  <c r="O252" i="2"/>
  <c r="AG567" i="2" s="1"/>
  <c r="K74" i="6"/>
  <c r="G74" i="9"/>
  <c r="I387" i="2" s="1"/>
  <c r="G183" i="9"/>
  <c r="I358" i="2" s="1"/>
  <c r="G215" i="9"/>
  <c r="I359" i="2" s="1"/>
  <c r="H203" i="11"/>
  <c r="G45" i="14"/>
  <c r="O300" i="2"/>
  <c r="AG615" i="2" s="1"/>
  <c r="D79" i="6"/>
  <c r="O307" i="2"/>
  <c r="AG622" i="2" s="1"/>
  <c r="K79" i="6"/>
  <c r="O289" i="2"/>
  <c r="AG604" i="2" s="1"/>
  <c r="D78" i="6"/>
  <c r="O279" i="2"/>
  <c r="AG594" i="2" s="1"/>
  <c r="E77" i="6"/>
  <c r="O278" i="2"/>
  <c r="AG593" i="2" s="1"/>
  <c r="D77" i="6"/>
  <c r="O211" i="2"/>
  <c r="AG526" i="2" s="1"/>
  <c r="G95" i="9"/>
  <c r="I344" i="2" s="1"/>
  <c r="G179" i="9"/>
  <c r="I226" i="2" s="1"/>
  <c r="G199" i="9"/>
  <c r="G168" i="9"/>
  <c r="I215" i="2" s="1"/>
  <c r="D42" i="14"/>
  <c r="H224" i="11"/>
  <c r="H70" i="8"/>
  <c r="F70" i="8" s="1"/>
  <c r="I70" i="8" s="1"/>
  <c r="F74" i="6"/>
  <c r="O241" i="2"/>
  <c r="K73" i="6"/>
  <c r="O301" i="2"/>
  <c r="AG616" i="2" s="1"/>
  <c r="O276" i="2"/>
  <c r="AG591" i="2" s="1"/>
  <c r="B77" i="6"/>
  <c r="O268" i="2"/>
  <c r="AG583" i="2" s="1"/>
  <c r="E76" i="6"/>
  <c r="O274" i="2"/>
  <c r="AG589" i="2" s="1"/>
  <c r="K76" i="6"/>
  <c r="O297" i="2"/>
  <c r="AG612" i="2" s="1"/>
  <c r="L78" i="6"/>
  <c r="O237" i="2"/>
  <c r="G73" i="6"/>
  <c r="G41" i="14"/>
  <c r="G70" i="9"/>
  <c r="I255" i="2" s="1"/>
  <c r="G59" i="9"/>
  <c r="I244" i="2" s="1"/>
  <c r="G81" i="9"/>
  <c r="I266" i="2" s="1"/>
  <c r="L46" i="14"/>
  <c r="H294" i="11"/>
  <c r="K99" i="6"/>
  <c r="L102" i="6"/>
  <c r="O308" i="2"/>
  <c r="AG623" i="2" s="1"/>
  <c r="L97" i="6"/>
  <c r="O253" i="2"/>
  <c r="AG568" i="2" s="1"/>
  <c r="H284" i="11"/>
  <c r="H66" i="8"/>
  <c r="F66" i="8" s="1"/>
  <c r="I66" i="8" s="1"/>
  <c r="F45" i="14"/>
  <c r="O280" i="2"/>
  <c r="AG595" i="2" s="1"/>
  <c r="F41" i="14"/>
  <c r="O236" i="2"/>
  <c r="H41" i="14"/>
  <c r="O238" i="2"/>
  <c r="G211" i="9"/>
  <c r="I227" i="2" s="1"/>
  <c r="H47" i="14"/>
  <c r="O304" i="2"/>
  <c r="AG619" i="2" s="1"/>
  <c r="E97" i="6"/>
  <c r="O246" i="2"/>
  <c r="AG561" i="2" s="1"/>
  <c r="O260" i="2"/>
  <c r="AG575" i="2" s="1"/>
  <c r="K19" i="6"/>
  <c r="G127" i="9"/>
  <c r="I312" i="2" s="1"/>
  <c r="G225" i="9"/>
  <c r="I370" i="2" s="1"/>
  <c r="G214" i="9"/>
  <c r="I326" i="2" s="1"/>
  <c r="O481" i="2"/>
  <c r="AG107" i="2" s="1"/>
  <c r="H274" i="11"/>
  <c r="G85" i="9"/>
  <c r="I398" i="2" s="1"/>
  <c r="O259" i="2"/>
  <c r="AG574" i="2" s="1"/>
  <c r="E42" i="14"/>
  <c r="B97" i="6"/>
  <c r="O243" i="2"/>
  <c r="H44" i="14"/>
  <c r="O271" i="2"/>
  <c r="AG586" i="2" s="1"/>
  <c r="O263" i="2"/>
  <c r="AG578" i="2" s="1"/>
  <c r="H42" i="14"/>
  <c r="O249" i="2"/>
  <c r="AG564" i="2" s="1"/>
  <c r="F44" i="14"/>
  <c r="O269" i="2"/>
  <c r="AG584" i="2" s="1"/>
  <c r="G149" i="9"/>
  <c r="I334" i="2" s="1"/>
  <c r="G128" i="9"/>
  <c r="I345" i="2" s="1"/>
  <c r="G224" i="9"/>
  <c r="I337" i="2" s="1"/>
  <c r="B101" i="6"/>
  <c r="B62" i="19" s="1"/>
  <c r="O287" i="2"/>
  <c r="AG602" i="2" s="1"/>
  <c r="D46" i="14"/>
  <c r="D45" i="14"/>
  <c r="D43" i="14"/>
  <c r="O256" i="2"/>
  <c r="AG571" i="2" s="1"/>
  <c r="C44" i="14"/>
  <c r="O266" i="2"/>
  <c r="AG581" i="2" s="1"/>
  <c r="E101" i="6"/>
  <c r="O290" i="2"/>
  <c r="AG605" i="2" s="1"/>
  <c r="C42" i="14"/>
  <c r="E98" i="6"/>
  <c r="E59" i="19" s="1"/>
  <c r="O257" i="2"/>
  <c r="AG572" i="2" s="1"/>
  <c r="H69" i="8"/>
  <c r="F69" i="8" s="1"/>
  <c r="I69" i="8" s="1"/>
  <c r="O270" i="2"/>
  <c r="AG585" i="2" s="1"/>
  <c r="S19" i="6"/>
  <c r="U19" i="6"/>
  <c r="G202" i="9"/>
  <c r="I282" i="2" s="1"/>
  <c r="G138" i="9"/>
  <c r="I323" i="2" s="1"/>
  <c r="G200" i="9"/>
  <c r="I216" i="2" s="1"/>
  <c r="I97" i="6"/>
  <c r="I58" i="19" s="1"/>
  <c r="O250" i="2"/>
  <c r="AG565" i="2" s="1"/>
  <c r="G173" i="9"/>
  <c r="I380" i="2" s="1"/>
  <c r="B98" i="6"/>
  <c r="B59" i="19" s="1"/>
  <c r="O254" i="2"/>
  <c r="AG569" i="2" s="1"/>
  <c r="C92" i="8"/>
  <c r="C91" i="8"/>
  <c r="C87" i="8"/>
  <c r="O234" i="2"/>
  <c r="G47" i="14"/>
  <c r="O303" i="2"/>
  <c r="AG618" i="2" s="1"/>
  <c r="F43" i="14"/>
  <c r="O258" i="2"/>
  <c r="AG573" i="2" s="1"/>
  <c r="H213" i="11"/>
  <c r="O275" i="2"/>
  <c r="AG590" i="2" s="1"/>
  <c r="G171" i="9"/>
  <c r="I314" i="2" s="1"/>
  <c r="G194" i="9"/>
  <c r="I402" i="2" s="1"/>
  <c r="G203" i="9"/>
  <c r="I315" i="2" s="1"/>
  <c r="G184" i="9"/>
  <c r="I391" i="2" s="1"/>
  <c r="G198" i="9"/>
  <c r="I534" i="2" s="1"/>
  <c r="G204" i="9"/>
  <c r="I348" i="2" s="1"/>
  <c r="G129" i="9"/>
  <c r="I378" i="2" s="1"/>
  <c r="L98" i="6"/>
  <c r="O264" i="2"/>
  <c r="AG579" i="2" s="1"/>
  <c r="B92" i="8"/>
  <c r="B91" i="8"/>
  <c r="H319" i="11"/>
  <c r="C41" i="14"/>
  <c r="O233" i="2"/>
  <c r="C45" i="14"/>
  <c r="O277" i="2"/>
  <c r="AG592" i="2" s="1"/>
  <c r="C88" i="8"/>
  <c r="D88" i="8" s="1"/>
  <c r="O245" i="2"/>
  <c r="K45" i="14"/>
  <c r="O285" i="2"/>
  <c r="AG600" i="2" s="1"/>
  <c r="H46" i="14"/>
  <c r="O293" i="2"/>
  <c r="AG608" i="2" s="1"/>
  <c r="F47" i="14"/>
  <c r="O302" i="2"/>
  <c r="AG617" i="2" s="1"/>
  <c r="G188" i="9"/>
  <c r="I523" i="2" s="1"/>
  <c r="G182" i="9"/>
  <c r="I325" i="2" s="1"/>
  <c r="G140" i="9"/>
  <c r="I389" i="2" s="1"/>
  <c r="G192" i="9"/>
  <c r="I336" i="2" s="1"/>
  <c r="G193" i="9"/>
  <c r="I369" i="2" s="1"/>
  <c r="G117" i="9"/>
  <c r="I366" i="2" s="1"/>
  <c r="G139" i="9"/>
  <c r="I356" i="2" s="1"/>
  <c r="O217" i="2"/>
  <c r="AG532" i="2" s="1"/>
  <c r="G177" i="9"/>
  <c r="I512" i="2" s="1"/>
  <c r="C46" i="14"/>
  <c r="G44" i="14"/>
  <c r="E43" i="14"/>
  <c r="L101" i="6"/>
  <c r="H45" i="14"/>
  <c r="O282" i="2"/>
  <c r="AG597" i="2" s="1"/>
  <c r="B90" i="8"/>
  <c r="O267" i="2"/>
  <c r="AG582" i="2" s="1"/>
  <c r="C150" i="2"/>
  <c r="I150" i="2" s="1"/>
  <c r="C210" i="9"/>
  <c r="E17" i="18"/>
  <c r="K103" i="6"/>
  <c r="K64" i="19" s="1"/>
  <c r="D20" i="18"/>
  <c r="O517" i="2"/>
  <c r="AG143" i="2" s="1"/>
  <c r="E21" i="18"/>
  <c r="O484" i="2"/>
  <c r="AG110" i="2" s="1"/>
  <c r="O507" i="2"/>
  <c r="AG133" i="2" s="1"/>
  <c r="B103" i="6"/>
  <c r="E103" i="6"/>
  <c r="I103" i="6"/>
  <c r="I64" i="19" s="1"/>
  <c r="K106" i="6"/>
  <c r="I106" i="6"/>
  <c r="B106" i="6"/>
  <c r="B67" i="19" s="1"/>
  <c r="E106" i="6"/>
  <c r="C89" i="8"/>
  <c r="C19" i="6"/>
  <c r="M19" i="6"/>
  <c r="O473" i="2"/>
  <c r="AG99" i="2" s="1"/>
  <c r="G118" i="9"/>
  <c r="I399" i="2" s="1"/>
  <c r="B41" i="14"/>
  <c r="B96" i="6"/>
  <c r="G137" i="9"/>
  <c r="I290" i="2" s="1"/>
  <c r="G96" i="9"/>
  <c r="I377" i="2" s="1"/>
  <c r="B44" i="14"/>
  <c r="B99" i="6"/>
  <c r="K41" i="14"/>
  <c r="K96" i="6"/>
  <c r="E47" i="14"/>
  <c r="E102" i="6"/>
  <c r="B42" i="14"/>
  <c r="G87" i="9"/>
  <c r="I464" i="2" s="1"/>
  <c r="I98" i="6"/>
  <c r="M30" i="6"/>
  <c r="K42" i="14"/>
  <c r="K97" i="6"/>
  <c r="G63" i="9"/>
  <c r="I376" i="2" s="1"/>
  <c r="M34" i="6"/>
  <c r="E46" i="14"/>
  <c r="E41" i="14"/>
  <c r="E96" i="6"/>
  <c r="L99" i="6"/>
  <c r="L60" i="19" s="1"/>
  <c r="B45" i="14"/>
  <c r="B100" i="6"/>
  <c r="E44" i="14"/>
  <c r="E99" i="6"/>
  <c r="M29" i="6"/>
  <c r="G136" i="9"/>
  <c r="I257" i="2" s="1"/>
  <c r="G124" i="9"/>
  <c r="I213" i="2" s="1"/>
  <c r="L47" i="14"/>
  <c r="I44" i="14"/>
  <c r="I99" i="6"/>
  <c r="I47" i="14"/>
  <c r="I102" i="6"/>
  <c r="E45" i="14"/>
  <c r="E100" i="6"/>
  <c r="G67" i="9"/>
  <c r="I508" i="2" s="1"/>
  <c r="G78" i="9"/>
  <c r="I519" i="2" s="1"/>
  <c r="G146" i="9"/>
  <c r="I235" i="2" s="1"/>
  <c r="G89" i="9"/>
  <c r="I530" i="2" s="1"/>
  <c r="H329" i="11"/>
  <c r="B47" i="14"/>
  <c r="B102" i="6"/>
  <c r="F42" i="14"/>
  <c r="M27" i="6"/>
  <c r="B87" i="8"/>
  <c r="H72" i="8"/>
  <c r="F72" i="8" s="1"/>
  <c r="I72" i="8" s="1"/>
  <c r="O510" i="2"/>
  <c r="AG136" i="2" s="1"/>
  <c r="L103" i="6"/>
  <c r="L64" i="19" s="1"/>
  <c r="L106" i="6"/>
  <c r="L67" i="19" s="1"/>
  <c r="I80" i="8"/>
  <c r="F58" i="8"/>
  <c r="I79" i="8"/>
  <c r="O495" i="2"/>
  <c r="AG121" i="2" s="1"/>
  <c r="O19" i="6"/>
  <c r="M35" i="6"/>
  <c r="G180" i="9"/>
  <c r="I259" i="2" s="1"/>
  <c r="G82" i="9"/>
  <c r="I299" i="2" s="1"/>
  <c r="G107" i="9"/>
  <c r="I388" i="2" s="1"/>
  <c r="G65" i="9"/>
  <c r="I442" i="2" s="1"/>
  <c r="G190" i="9"/>
  <c r="I270" i="2" s="1"/>
  <c r="G62" i="9"/>
  <c r="I343" i="2" s="1"/>
  <c r="G76" i="9"/>
  <c r="I453" i="2" s="1"/>
  <c r="G73" i="9"/>
  <c r="I354" i="2" s="1"/>
  <c r="G91" i="9"/>
  <c r="I212" i="2" s="1"/>
  <c r="Q19" i="6"/>
  <c r="G71" i="9"/>
  <c r="I288" i="2" s="1"/>
  <c r="G60" i="9"/>
  <c r="I277" i="2" s="1"/>
  <c r="G84" i="9"/>
  <c r="I365" i="2" s="1"/>
  <c r="G169" i="9"/>
  <c r="I248" i="2" s="1"/>
  <c r="H309" i="11"/>
  <c r="D41" i="14"/>
  <c r="B89" i="8"/>
  <c r="D90" i="8"/>
  <c r="G126" i="9"/>
  <c r="I279" i="2" s="1"/>
  <c r="W19" i="6"/>
  <c r="M32" i="6"/>
  <c r="M31" i="6"/>
  <c r="G148" i="9"/>
  <c r="I301" i="2" s="1"/>
  <c r="G102" i="9"/>
  <c r="I223" i="2" s="1"/>
  <c r="K39" i="14"/>
  <c r="G260" i="9"/>
  <c r="I417" i="2" s="1"/>
  <c r="H39" i="14"/>
  <c r="K43" i="14"/>
  <c r="H131" i="11"/>
  <c r="H141" i="11"/>
  <c r="H152" i="11"/>
  <c r="L42" i="14"/>
  <c r="G254" i="9"/>
  <c r="I219" i="2" s="1"/>
  <c r="B39" i="14"/>
  <c r="G255" i="9"/>
  <c r="I252" i="2" s="1"/>
  <c r="C39" i="14"/>
  <c r="G257" i="9"/>
  <c r="I318" i="2" s="1"/>
  <c r="E39" i="14"/>
  <c r="B43" i="14"/>
  <c r="B46" i="14"/>
  <c r="G264" i="9"/>
  <c r="H25" i="11"/>
  <c r="H35" i="11"/>
  <c r="L39" i="14"/>
  <c r="H167" i="11"/>
  <c r="H177" i="11"/>
  <c r="H188" i="11"/>
  <c r="L43" i="14"/>
  <c r="H71" i="8"/>
  <c r="F71" i="8" s="1"/>
  <c r="I71" i="8" s="1"/>
  <c r="G46" i="14"/>
  <c r="I42" i="14"/>
  <c r="G262" i="9"/>
  <c r="I483" i="2" s="1"/>
  <c r="J39" i="14"/>
  <c r="G259" i="9"/>
  <c r="I384" i="2" s="1"/>
  <c r="H64" i="8"/>
  <c r="F64" i="8" s="1"/>
  <c r="I64" i="8" s="1"/>
  <c r="G39" i="14"/>
  <c r="C43" i="14"/>
  <c r="I43" i="14"/>
  <c r="G261" i="9"/>
  <c r="I450" i="2" s="1"/>
  <c r="I39" i="14"/>
  <c r="G256" i="9"/>
  <c r="I285" i="2" s="1"/>
  <c r="C85" i="8"/>
  <c r="B85" i="8"/>
  <c r="D39" i="14"/>
  <c r="G258" i="9"/>
  <c r="I351" i="2" s="1"/>
  <c r="F39" i="14"/>
  <c r="H68" i="8"/>
  <c r="F68" i="8" s="1"/>
  <c r="I68" i="8" s="1"/>
  <c r="G43" i="14"/>
  <c r="B90" i="5"/>
  <c r="F90" i="5"/>
  <c r="G90" i="5"/>
  <c r="H90" i="5"/>
  <c r="D90" i="5"/>
  <c r="F75" i="8"/>
  <c r="I75" i="8" s="1"/>
  <c r="F76" i="8"/>
  <c r="I76" i="8" s="1"/>
  <c r="F77" i="8"/>
  <c r="I77" i="8" s="1"/>
  <c r="F74" i="8"/>
  <c r="I74" i="8" s="1"/>
  <c r="H59" i="8"/>
  <c r="O503" i="2"/>
  <c r="AG129" i="2" s="1"/>
  <c r="O472" i="2"/>
  <c r="AG98" i="2" s="1"/>
  <c r="F379" i="11"/>
  <c r="C108" i="2"/>
  <c r="I108" i="2" s="1"/>
  <c r="I276" i="2"/>
  <c r="I408" i="2"/>
  <c r="I298" i="2"/>
  <c r="I320" i="2"/>
  <c r="C234" i="2"/>
  <c r="I485" i="2"/>
  <c r="I529" i="2"/>
  <c r="I386" i="2"/>
  <c r="I221" i="2"/>
  <c r="I287" i="2"/>
  <c r="I309" i="2"/>
  <c r="I265" i="2"/>
  <c r="I452" i="2"/>
  <c r="I474" i="2"/>
  <c r="I441" i="2"/>
  <c r="I506" i="2"/>
  <c r="I463" i="2"/>
  <c r="I375" i="2"/>
  <c r="I430" i="2"/>
  <c r="C229" i="2"/>
  <c r="I496" i="2"/>
  <c r="C235" i="2"/>
  <c r="I353" i="2"/>
  <c r="I331" i="2"/>
  <c r="I364" i="2"/>
  <c r="I518" i="2"/>
  <c r="I419" i="2"/>
  <c r="C228" i="2"/>
  <c r="I342" i="2"/>
  <c r="I59" i="8"/>
  <c r="G59" i="8"/>
  <c r="C20" i="3"/>
  <c r="E90" i="5"/>
  <c r="Y19" i="6"/>
  <c r="C90" i="5"/>
  <c r="S12" i="3"/>
  <c r="S13" i="3"/>
  <c r="S14" i="3"/>
  <c r="S15" i="3"/>
  <c r="S16" i="3"/>
  <c r="S10" i="3"/>
  <c r="C34" i="3"/>
  <c r="C30" i="3"/>
  <c r="B21" i="3"/>
  <c r="B31" i="3"/>
  <c r="Z91" i="3"/>
  <c r="Z92" i="3"/>
  <c r="Z93" i="3"/>
  <c r="Z94" i="3"/>
  <c r="Z95" i="3"/>
  <c r="Z96" i="3"/>
  <c r="Z90" i="3"/>
  <c r="AA90" i="3"/>
  <c r="S11" i="3"/>
  <c r="D54" i="6" l="1"/>
  <c r="D231" i="11" s="1"/>
  <c r="I79" i="6"/>
  <c r="H77" i="6"/>
  <c r="K78" i="6"/>
  <c r="G74" i="6"/>
  <c r="K46" i="14"/>
  <c r="D74" i="6"/>
  <c r="K75" i="6"/>
  <c r="O242" i="2"/>
  <c r="O219" i="2"/>
  <c r="AG534" i="2" s="1"/>
  <c r="G186" i="9"/>
  <c r="I457" i="2" s="1"/>
  <c r="H52" i="6"/>
  <c r="D163" i="11" s="1"/>
  <c r="O220" i="2"/>
  <c r="AG535" i="2" s="1"/>
  <c r="G114" i="9"/>
  <c r="I267" i="2" s="1"/>
  <c r="G79" i="6"/>
  <c r="F79" i="6"/>
  <c r="H75" i="6"/>
  <c r="K98" i="6"/>
  <c r="O299" i="2"/>
  <c r="AG614" i="2" s="1"/>
  <c r="O247" i="2"/>
  <c r="AG562" i="2" s="1"/>
  <c r="B79" i="6"/>
  <c r="O261" i="2"/>
  <c r="AG576" i="2" s="1"/>
  <c r="I76" i="6"/>
  <c r="G196" i="9"/>
  <c r="I468" i="2" s="1"/>
  <c r="O244" i="2"/>
  <c r="AG559" i="2" s="1"/>
  <c r="G42" i="14"/>
  <c r="O272" i="2"/>
  <c r="AG587" i="2" s="1"/>
  <c r="G213" i="9"/>
  <c r="I293" i="2" s="1"/>
  <c r="G216" i="9"/>
  <c r="I392" i="2" s="1"/>
  <c r="G175" i="9"/>
  <c r="I446" i="2" s="1"/>
  <c r="G92" i="9"/>
  <c r="I245" i="2" s="1"/>
  <c r="AG552" i="2"/>
  <c r="U741" i="2"/>
  <c r="AG557" i="2"/>
  <c r="U746" i="2"/>
  <c r="AG547" i="2"/>
  <c r="U736" i="2"/>
  <c r="AG548" i="2"/>
  <c r="U737" i="2"/>
  <c r="AG553" i="2"/>
  <c r="U742" i="2"/>
  <c r="AG556" i="2"/>
  <c r="U745" i="2"/>
  <c r="AG560" i="2"/>
  <c r="U749" i="2"/>
  <c r="AG549" i="2"/>
  <c r="U738" i="2"/>
  <c r="AG551" i="2"/>
  <c r="U740" i="2"/>
  <c r="AG558" i="2"/>
  <c r="U747" i="2"/>
  <c r="U133" i="2"/>
  <c r="AA133" i="2"/>
  <c r="U140" i="2"/>
  <c r="AA140" i="2"/>
  <c r="AA560" i="2"/>
  <c r="U803" i="2"/>
  <c r="AA614" i="2"/>
  <c r="AA551" i="2"/>
  <c r="U795" i="2"/>
  <c r="AA606" i="2"/>
  <c r="U752" i="2"/>
  <c r="AA563" i="2"/>
  <c r="U754" i="2"/>
  <c r="AA565" i="2"/>
  <c r="U774" i="2"/>
  <c r="AA585" i="2"/>
  <c r="U770" i="2"/>
  <c r="AA581" i="2"/>
  <c r="U724" i="2"/>
  <c r="AA535" i="2"/>
  <c r="U763" i="2"/>
  <c r="AA574" i="2"/>
  <c r="AA553" i="2"/>
  <c r="U717" i="2"/>
  <c r="AA528" i="2"/>
  <c r="U793" i="2"/>
  <c r="AA604" i="2"/>
  <c r="U809" i="2"/>
  <c r="AA620" i="2"/>
  <c r="U759" i="2"/>
  <c r="AA570" i="2"/>
  <c r="U718" i="2"/>
  <c r="AA529" i="2"/>
  <c r="U70" i="2"/>
  <c r="AA70" i="2"/>
  <c r="U751" i="2"/>
  <c r="AA562" i="2"/>
  <c r="U715" i="2"/>
  <c r="AA526" i="2"/>
  <c r="U811" i="2"/>
  <c r="AA622" i="2"/>
  <c r="U721" i="2"/>
  <c r="AA532" i="2"/>
  <c r="U779" i="2"/>
  <c r="AA590" i="2"/>
  <c r="U802" i="2"/>
  <c r="AA613" i="2"/>
  <c r="U59" i="2"/>
  <c r="AA59" i="2"/>
  <c r="AA556" i="2"/>
  <c r="U778" i="2"/>
  <c r="AA589" i="2"/>
  <c r="U768" i="2"/>
  <c r="AA579" i="2"/>
  <c r="U760" i="2"/>
  <c r="AA571" i="2"/>
  <c r="U781" i="2"/>
  <c r="AA592" i="2"/>
  <c r="U143" i="2"/>
  <c r="AA143" i="2"/>
  <c r="U786" i="2"/>
  <c r="AA597" i="2"/>
  <c r="AA559" i="2"/>
  <c r="U714" i="2"/>
  <c r="AA525" i="2"/>
  <c r="U107" i="2"/>
  <c r="AA107" i="2"/>
  <c r="U784" i="2"/>
  <c r="AA595" i="2"/>
  <c r="U782" i="2"/>
  <c r="AA593" i="2"/>
  <c r="U804" i="2"/>
  <c r="AA615" i="2"/>
  <c r="U722" i="2"/>
  <c r="AA533" i="2"/>
  <c r="U776" i="2"/>
  <c r="AA587" i="2"/>
  <c r="U771" i="2"/>
  <c r="AA582" i="2"/>
  <c r="U775" i="2"/>
  <c r="AA586" i="2"/>
  <c r="U812" i="2"/>
  <c r="AA623" i="2"/>
  <c r="U136" i="2"/>
  <c r="AA136" i="2"/>
  <c r="U797" i="2"/>
  <c r="AA608" i="2"/>
  <c r="AA548" i="2"/>
  <c r="U762" i="2"/>
  <c r="AA573" i="2"/>
  <c r="U758" i="2"/>
  <c r="AA569" i="2"/>
  <c r="U773" i="2"/>
  <c r="AA584" i="2"/>
  <c r="AA558" i="2"/>
  <c r="U808" i="2"/>
  <c r="AA619" i="2"/>
  <c r="AA552" i="2"/>
  <c r="U780" i="2"/>
  <c r="AA591" i="2"/>
  <c r="U756" i="2"/>
  <c r="AA567" i="2"/>
  <c r="U716" i="2"/>
  <c r="AA527" i="2"/>
  <c r="U88" i="2"/>
  <c r="AA88" i="2"/>
  <c r="U142" i="2"/>
  <c r="AA142" i="2"/>
  <c r="AA549" i="2"/>
  <c r="U767" i="2"/>
  <c r="AA578" i="2"/>
  <c r="U764" i="2"/>
  <c r="AA575" i="2"/>
  <c r="U757" i="2"/>
  <c r="AA568" i="2"/>
  <c r="U785" i="2"/>
  <c r="AA596" i="2"/>
  <c r="U110" i="2"/>
  <c r="AA110" i="2"/>
  <c r="U750" i="2"/>
  <c r="AA561" i="2"/>
  <c r="U772" i="2"/>
  <c r="AA583" i="2"/>
  <c r="U98" i="2"/>
  <c r="AA98" i="2"/>
  <c r="U129" i="2"/>
  <c r="AA129" i="2"/>
  <c r="U99" i="2"/>
  <c r="AA99" i="2"/>
  <c r="U794" i="2"/>
  <c r="AA605" i="2"/>
  <c r="U791" i="2"/>
  <c r="AA602" i="2"/>
  <c r="U805" i="2"/>
  <c r="AA616" i="2"/>
  <c r="U783" i="2"/>
  <c r="AA594" i="2"/>
  <c r="U720" i="2"/>
  <c r="AA531" i="2"/>
  <c r="U769" i="2"/>
  <c r="AA580" i="2"/>
  <c r="U796" i="2"/>
  <c r="AA607" i="2"/>
  <c r="U63" i="2"/>
  <c r="AA63" i="2"/>
  <c r="U761" i="2"/>
  <c r="AA572" i="2"/>
  <c r="U806" i="2"/>
  <c r="AA617" i="2"/>
  <c r="U121" i="2"/>
  <c r="AA121" i="2"/>
  <c r="U789" i="2"/>
  <c r="AA600" i="2"/>
  <c r="U807" i="2"/>
  <c r="AA618" i="2"/>
  <c r="U723" i="2"/>
  <c r="AA534" i="2"/>
  <c r="U753" i="2"/>
  <c r="AA564" i="2"/>
  <c r="U801" i="2"/>
  <c r="AA612" i="2"/>
  <c r="U719" i="2"/>
  <c r="AA530" i="2"/>
  <c r="AA557" i="2"/>
  <c r="U800" i="2"/>
  <c r="AA611" i="2"/>
  <c r="AA547" i="2"/>
  <c r="I73" i="6"/>
  <c r="E73" i="6"/>
  <c r="C54" i="6"/>
  <c r="D230" i="11" s="1"/>
  <c r="O235" i="2"/>
  <c r="E55" i="6"/>
  <c r="D267" i="11" s="1"/>
  <c r="I54" i="6"/>
  <c r="D236" i="11" s="1"/>
  <c r="O470" i="2" s="1"/>
  <c r="AG96" i="2" s="1"/>
  <c r="O283" i="2"/>
  <c r="AG598" i="2" s="1"/>
  <c r="G218" i="9"/>
  <c r="I458" i="2" s="1"/>
  <c r="G207" i="9"/>
  <c r="I447" i="2" s="1"/>
  <c r="I77" i="6"/>
  <c r="M77" i="6" s="1"/>
  <c r="I45" i="14"/>
  <c r="G228" i="9"/>
  <c r="I469" i="2" s="1"/>
  <c r="I100" i="6"/>
  <c r="G58" i="9"/>
  <c r="I211" i="2" s="1"/>
  <c r="G80" i="9"/>
  <c r="G69" i="9"/>
  <c r="I222" i="2" s="1"/>
  <c r="E56" i="6"/>
  <c r="D302" i="11" s="1"/>
  <c r="O488" i="2" s="1"/>
  <c r="AG114" i="2" s="1"/>
  <c r="G105" i="9"/>
  <c r="I322" i="2" s="1"/>
  <c r="G94" i="9"/>
  <c r="I311" i="2" s="1"/>
  <c r="C53" i="6"/>
  <c r="D194" i="11" s="1"/>
  <c r="K56" i="6"/>
  <c r="D308" i="11" s="1"/>
  <c r="O494" i="2" s="1"/>
  <c r="AG120" i="2" s="1"/>
  <c r="G122" i="9"/>
  <c r="I531" i="2" s="1"/>
  <c r="G100" i="9"/>
  <c r="I509" i="2" s="1"/>
  <c r="K47" i="14"/>
  <c r="K102" i="6"/>
  <c r="G111" i="9"/>
  <c r="I520" i="2" s="1"/>
  <c r="K53" i="6"/>
  <c r="D202" i="11" s="1"/>
  <c r="O461" i="2" s="1"/>
  <c r="AG87" i="2" s="1"/>
  <c r="K44" i="14"/>
  <c r="B56" i="6"/>
  <c r="D299" i="11" s="1"/>
  <c r="O485" i="2" s="1"/>
  <c r="AG111" i="2" s="1"/>
  <c r="G113" i="9"/>
  <c r="I234" i="2" s="1"/>
  <c r="G72" i="9"/>
  <c r="I321" i="2" s="1"/>
  <c r="G61" i="9"/>
  <c r="I310" i="2" s="1"/>
  <c r="G83" i="9"/>
  <c r="I332" i="2" s="1"/>
  <c r="M33" i="6"/>
  <c r="E79" i="6"/>
  <c r="M79" i="6" s="1"/>
  <c r="G103" i="9"/>
  <c r="I256" i="2" s="1"/>
  <c r="O239" i="2"/>
  <c r="B51" i="6"/>
  <c r="D121" i="11" s="1"/>
  <c r="O430" i="2" s="1"/>
  <c r="AG56" i="2" s="1"/>
  <c r="G205" i="9"/>
  <c r="I381" i="2" s="1"/>
  <c r="B73" i="6"/>
  <c r="C78" i="6"/>
  <c r="M78" i="6" s="1"/>
  <c r="D44" i="14"/>
  <c r="M44" i="14" s="1"/>
  <c r="F12" i="14" s="1"/>
  <c r="G191" i="9"/>
  <c r="I303" i="2" s="1"/>
  <c r="G170" i="9"/>
  <c r="I281" i="2" s="1"/>
  <c r="G181" i="9"/>
  <c r="I292" i="2" s="1"/>
  <c r="G209" i="9"/>
  <c r="I513" i="2" s="1"/>
  <c r="G220" i="9"/>
  <c r="I524" i="2" s="1"/>
  <c r="K100" i="6"/>
  <c r="G230" i="9"/>
  <c r="I535" i="2" s="1"/>
  <c r="C47" i="14"/>
  <c r="H67" i="8"/>
  <c r="F67" i="8" s="1"/>
  <c r="I67" i="8" s="1"/>
  <c r="I75" i="6"/>
  <c r="M75" i="6" s="1"/>
  <c r="O288" i="2"/>
  <c r="AG603" i="2" s="1"/>
  <c r="C51" i="6"/>
  <c r="D122" i="11" s="1"/>
  <c r="C56" i="6"/>
  <c r="D300" i="11" s="1"/>
  <c r="H55" i="6"/>
  <c r="D270" i="11" s="1"/>
  <c r="D56" i="6"/>
  <c r="D301" i="11" s="1"/>
  <c r="B93" i="8"/>
  <c r="C93" i="8"/>
  <c r="D47" i="14"/>
  <c r="G115" i="9"/>
  <c r="I300" i="2" s="1"/>
  <c r="G104" i="9"/>
  <c r="I289" i="2" s="1"/>
  <c r="G93" i="9"/>
  <c r="I278" i="2" s="1"/>
  <c r="G212" i="9"/>
  <c r="I260" i="2" s="1"/>
  <c r="G222" i="9"/>
  <c r="I271" i="2" s="1"/>
  <c r="G201" i="9"/>
  <c r="I249" i="2" s="1"/>
  <c r="I56" i="6"/>
  <c r="D306" i="11" s="1"/>
  <c r="O492" i="2" s="1"/>
  <c r="AG118" i="2" s="1"/>
  <c r="G109" i="9"/>
  <c r="I454" i="2" s="1"/>
  <c r="F55" i="6"/>
  <c r="D268" i="11" s="1"/>
  <c r="F46" i="14"/>
  <c r="C40" i="2"/>
  <c r="I40" i="2" s="1"/>
  <c r="C33" i="9"/>
  <c r="C200" i="9"/>
  <c r="B61" i="19"/>
  <c r="C75" i="2"/>
  <c r="I75" i="2" s="1"/>
  <c r="K57" i="19"/>
  <c r="O477" i="2"/>
  <c r="AG103" i="2" s="1"/>
  <c r="E62" i="19"/>
  <c r="K60" i="19"/>
  <c r="O422" i="2"/>
  <c r="AG48" i="2" s="1"/>
  <c r="E57" i="19"/>
  <c r="O448" i="2"/>
  <c r="AG74" i="2" s="1"/>
  <c r="I59" i="19"/>
  <c r="C33" i="2"/>
  <c r="I33" i="2" s="1"/>
  <c r="B64" i="19"/>
  <c r="C141" i="2"/>
  <c r="I141" i="2" s="1"/>
  <c r="K62" i="19"/>
  <c r="C168" i="9"/>
  <c r="B60" i="19"/>
  <c r="C36" i="2"/>
  <c r="I36" i="2" s="1"/>
  <c r="E64" i="19"/>
  <c r="C113" i="2"/>
  <c r="I113" i="2" s="1"/>
  <c r="E61" i="19"/>
  <c r="O450" i="2"/>
  <c r="AG76" i="2" s="1"/>
  <c r="K59" i="19"/>
  <c r="C62" i="2"/>
  <c r="I62" i="2" s="1"/>
  <c r="I63" i="19"/>
  <c r="C171" i="9"/>
  <c r="E60" i="19"/>
  <c r="C58" i="2"/>
  <c r="I58" i="2" s="1"/>
  <c r="E63" i="19"/>
  <c r="C66" i="2"/>
  <c r="I66" i="2" s="1"/>
  <c r="B57" i="19"/>
  <c r="E15" i="18"/>
  <c r="L59" i="19"/>
  <c r="C178" i="9"/>
  <c r="C194" i="2"/>
  <c r="I194" i="2" s="1"/>
  <c r="I67" i="19"/>
  <c r="E14" i="18"/>
  <c r="L58" i="19"/>
  <c r="C80" i="2"/>
  <c r="I80" i="2" s="1"/>
  <c r="E58" i="19"/>
  <c r="C91" i="9"/>
  <c r="B63" i="19"/>
  <c r="O532" i="2"/>
  <c r="AG158" i="2" s="1"/>
  <c r="E67" i="19"/>
  <c r="O459" i="2"/>
  <c r="AG85" i="2" s="1"/>
  <c r="I60" i="19"/>
  <c r="C86" i="2"/>
  <c r="I86" i="2" s="1"/>
  <c r="K58" i="19"/>
  <c r="O538" i="2"/>
  <c r="AG164" i="2" s="1"/>
  <c r="K67" i="19"/>
  <c r="E18" i="18"/>
  <c r="L62" i="19"/>
  <c r="C77" i="2"/>
  <c r="I77" i="2" s="1"/>
  <c r="B58" i="19"/>
  <c r="E19" i="18"/>
  <c r="L63" i="19"/>
  <c r="G151" i="9"/>
  <c r="G50" i="6"/>
  <c r="D80" i="11" s="1"/>
  <c r="D73" i="6"/>
  <c r="D50" i="6"/>
  <c r="D77" i="11" s="1"/>
  <c r="H73" i="6"/>
  <c r="H50" i="6"/>
  <c r="D81" i="11" s="1"/>
  <c r="C87" i="2"/>
  <c r="I87" i="2" s="1"/>
  <c r="D87" i="8"/>
  <c r="L73" i="6"/>
  <c r="G135" i="9"/>
  <c r="I224" i="2" s="1"/>
  <c r="B50" i="6"/>
  <c r="C222" i="2"/>
  <c r="D92" i="8"/>
  <c r="M52" i="6"/>
  <c r="C127" i="9"/>
  <c r="M83" i="6"/>
  <c r="M80" i="6"/>
  <c r="E21" i="3"/>
  <c r="L108" i="6" s="1"/>
  <c r="F62" i="6"/>
  <c r="D513" i="11" s="1"/>
  <c r="G62" i="6"/>
  <c r="D514" i="11" s="1"/>
  <c r="H62" i="6"/>
  <c r="D515" i="11" s="1"/>
  <c r="J62" i="6"/>
  <c r="D517" i="11" s="1"/>
  <c r="I62" i="6"/>
  <c r="D516" i="11" s="1"/>
  <c r="B62" i="6"/>
  <c r="D509" i="11" s="1"/>
  <c r="D62" i="6"/>
  <c r="D511" i="11" s="1"/>
  <c r="L62" i="6"/>
  <c r="D519" i="11" s="1"/>
  <c r="E62" i="6"/>
  <c r="D512" i="11" s="1"/>
  <c r="K62" i="6"/>
  <c r="D518" i="11" s="1"/>
  <c r="C62" i="6"/>
  <c r="D510" i="11" s="1"/>
  <c r="C65" i="2"/>
  <c r="I65" i="2" s="1"/>
  <c r="E20" i="3"/>
  <c r="L71" i="6" s="1"/>
  <c r="B48" i="6"/>
  <c r="F48" i="6"/>
  <c r="G48" i="6"/>
  <c r="H48" i="6"/>
  <c r="J48" i="6"/>
  <c r="I48" i="6"/>
  <c r="D48" i="6"/>
  <c r="L48" i="6"/>
  <c r="E48" i="6"/>
  <c r="K48" i="6"/>
  <c r="C48" i="6"/>
  <c r="C101" i="9"/>
  <c r="C252" i="9"/>
  <c r="E31" i="3"/>
  <c r="I105" i="6" s="1"/>
  <c r="I65" i="19" s="1"/>
  <c r="B58" i="6"/>
  <c r="J58" i="6"/>
  <c r="D412" i="11" s="1"/>
  <c r="C58" i="6"/>
  <c r="D405" i="11" s="1"/>
  <c r="K58" i="6"/>
  <c r="D413" i="11" s="1"/>
  <c r="D58" i="6"/>
  <c r="D406" i="11" s="1"/>
  <c r="L58" i="6"/>
  <c r="D414" i="11" s="1"/>
  <c r="F58" i="6"/>
  <c r="D408" i="11" s="1"/>
  <c r="E58" i="6"/>
  <c r="D407" i="11" s="1"/>
  <c r="G58" i="6"/>
  <c r="D409" i="11" s="1"/>
  <c r="H58" i="6"/>
  <c r="D410" i="11" s="1"/>
  <c r="I58" i="6"/>
  <c r="D411" i="11" s="1"/>
  <c r="M74" i="6"/>
  <c r="M59" i="6"/>
  <c r="M57" i="6"/>
  <c r="H116" i="11"/>
  <c r="H85" i="11"/>
  <c r="L96" i="6"/>
  <c r="L57" i="19" s="1"/>
  <c r="H105" i="11"/>
  <c r="L41" i="14"/>
  <c r="F73" i="6"/>
  <c r="G150" i="9"/>
  <c r="I367" i="2" s="1"/>
  <c r="M76" i="6"/>
  <c r="G144" i="9"/>
  <c r="G155" i="9"/>
  <c r="I532" i="2" s="1"/>
  <c r="G133" i="9"/>
  <c r="I510" i="2" s="1"/>
  <c r="I96" i="6"/>
  <c r="I57" i="19" s="1"/>
  <c r="G153" i="9"/>
  <c r="I466" i="2" s="1"/>
  <c r="G131" i="9"/>
  <c r="I444" i="2" s="1"/>
  <c r="G142" i="9"/>
  <c r="I41" i="14"/>
  <c r="C73" i="6"/>
  <c r="G125" i="9"/>
  <c r="G147" i="9"/>
  <c r="I268" i="2" s="1"/>
  <c r="C99" i="2"/>
  <c r="I99" i="2" s="1"/>
  <c r="C133" i="9"/>
  <c r="C135" i="2"/>
  <c r="I135" i="2" s="1"/>
  <c r="M45" i="14"/>
  <c r="F13" i="14" s="1"/>
  <c r="C142" i="2"/>
  <c r="I142" i="2" s="1"/>
  <c r="C94" i="9"/>
  <c r="C175" i="9"/>
  <c r="D91" i="8"/>
  <c r="O483" i="2"/>
  <c r="AG109" i="2" s="1"/>
  <c r="C55" i="2"/>
  <c r="I55" i="2" s="1"/>
  <c r="D89" i="8"/>
  <c r="C177" i="9"/>
  <c r="C47" i="2"/>
  <c r="I47" i="2" s="1"/>
  <c r="C61" i="9"/>
  <c r="C190" i="2"/>
  <c r="I190" i="2" s="1"/>
  <c r="C220" i="2"/>
  <c r="C98" i="9"/>
  <c r="C246" i="9"/>
  <c r="C219" i="2"/>
  <c r="O428" i="2"/>
  <c r="AG54" i="2" s="1"/>
  <c r="C196" i="2"/>
  <c r="I196" i="2" s="1"/>
  <c r="C102" i="2"/>
  <c r="I102" i="2" s="1"/>
  <c r="C203" i="9"/>
  <c r="C225" i="2"/>
  <c r="C197" i="2"/>
  <c r="I197" i="2" s="1"/>
  <c r="E23" i="18"/>
  <c r="C36" i="9"/>
  <c r="E20" i="18"/>
  <c r="C109" i="2"/>
  <c r="I109" i="2" s="1"/>
  <c r="E16" i="18"/>
  <c r="C124" i="9"/>
  <c r="O439" i="2"/>
  <c r="AG65" i="2" s="1"/>
  <c r="O539" i="2"/>
  <c r="AG165" i="2" s="1"/>
  <c r="C110" i="2"/>
  <c r="I110" i="2" s="1"/>
  <c r="C253" i="9"/>
  <c r="C106" i="2"/>
  <c r="I106" i="2" s="1"/>
  <c r="I108" i="6"/>
  <c r="I69" i="19" s="1"/>
  <c r="E108" i="6"/>
  <c r="E69" i="19" s="1"/>
  <c r="K108" i="6"/>
  <c r="K69" i="19" s="1"/>
  <c r="M46" i="14"/>
  <c r="F14" i="14" s="1"/>
  <c r="M41" i="14"/>
  <c r="F9" i="14" s="1"/>
  <c r="C69" i="2"/>
  <c r="I69" i="2" s="1"/>
  <c r="C221" i="2"/>
  <c r="O506" i="2"/>
  <c r="AG132" i="2" s="1"/>
  <c r="C43" i="2"/>
  <c r="I43" i="2" s="1"/>
  <c r="M42" i="14"/>
  <c r="F10" i="14" s="1"/>
  <c r="O496" i="2"/>
  <c r="AG122" i="2" s="1"/>
  <c r="C29" i="9"/>
  <c r="C250" i="9"/>
  <c r="C187" i="2"/>
  <c r="I187" i="2" s="1"/>
  <c r="C243" i="9"/>
  <c r="C26" i="9"/>
  <c r="C35" i="9"/>
  <c r="C42" i="2"/>
  <c r="I42" i="2" s="1"/>
  <c r="C227" i="2"/>
  <c r="D85" i="8"/>
  <c r="O440" i="2"/>
  <c r="AG66" i="2" s="1"/>
  <c r="C132" i="2"/>
  <c r="I132" i="2" s="1"/>
  <c r="M43" i="14"/>
  <c r="F11" i="14" s="1"/>
  <c r="C53" i="2"/>
  <c r="I53" i="2" s="1"/>
  <c r="C67" i="9"/>
  <c r="C51" i="2"/>
  <c r="I51" i="2" s="1"/>
  <c r="C65" i="9"/>
  <c r="C84" i="2"/>
  <c r="I84" i="2" s="1"/>
  <c r="C44" i="2"/>
  <c r="I44" i="2" s="1"/>
  <c r="C58" i="9"/>
  <c r="M39" i="14"/>
  <c r="F7" i="14" s="1"/>
  <c r="C224" i="2"/>
  <c r="C233" i="2"/>
  <c r="O499" i="2"/>
  <c r="AG125" i="2" s="1"/>
  <c r="C54" i="2"/>
  <c r="I54" i="2" s="1"/>
  <c r="C68" i="9"/>
  <c r="B37" i="3"/>
  <c r="B35" i="19"/>
  <c r="B51" i="19" s="1"/>
  <c r="C31" i="3"/>
  <c r="C21" i="3"/>
  <c r="C217" i="2" l="1"/>
  <c r="C218" i="2"/>
  <c r="C209" i="2"/>
  <c r="C215" i="2"/>
  <c r="M56" i="6"/>
  <c r="AA576" i="2"/>
  <c r="U765" i="2"/>
  <c r="C213" i="2"/>
  <c r="M54" i="6"/>
  <c r="C238" i="2"/>
  <c r="U748" i="2"/>
  <c r="M53" i="6"/>
  <c r="M47" i="14"/>
  <c r="F15" i="14" s="1"/>
  <c r="AG554" i="2"/>
  <c r="U743" i="2"/>
  <c r="AG550" i="2"/>
  <c r="U739" i="2"/>
  <c r="AA550" i="2"/>
  <c r="U66" i="2"/>
  <c r="AA66" i="2"/>
  <c r="U87" i="2"/>
  <c r="AA87" i="2"/>
  <c r="U165" i="2"/>
  <c r="AA165" i="2"/>
  <c r="U125" i="2"/>
  <c r="AA125" i="2"/>
  <c r="U65" i="2"/>
  <c r="AA65" i="2"/>
  <c r="U74" i="2"/>
  <c r="AA74" i="2"/>
  <c r="U158" i="2"/>
  <c r="AA158" i="2"/>
  <c r="U122" i="2"/>
  <c r="AA122" i="2"/>
  <c r="U164" i="2"/>
  <c r="AA164" i="2"/>
  <c r="U118" i="2"/>
  <c r="AA118" i="2"/>
  <c r="U109" i="2"/>
  <c r="AA109" i="2"/>
  <c r="U48" i="2"/>
  <c r="AA48" i="2"/>
  <c r="U54" i="2"/>
  <c r="AA54" i="2"/>
  <c r="U114" i="2"/>
  <c r="AA114" i="2"/>
  <c r="U787" i="2"/>
  <c r="AA598" i="2"/>
  <c r="U132" i="2"/>
  <c r="AA132" i="2"/>
  <c r="U96" i="2"/>
  <c r="AA96" i="2"/>
  <c r="U76" i="2"/>
  <c r="AA76" i="2"/>
  <c r="U56" i="2"/>
  <c r="AA56" i="2"/>
  <c r="U85" i="2"/>
  <c r="AA85" i="2"/>
  <c r="U103" i="2"/>
  <c r="AA103" i="2"/>
  <c r="U792" i="2"/>
  <c r="AA603" i="2"/>
  <c r="AA554" i="2"/>
  <c r="U111" i="2"/>
  <c r="AA111" i="2"/>
  <c r="U120" i="2"/>
  <c r="AA120" i="2"/>
  <c r="M51" i="6"/>
  <c r="C232" i="2"/>
  <c r="B71" i="6"/>
  <c r="C223" i="2"/>
  <c r="C230" i="2"/>
  <c r="I233" i="2"/>
  <c r="C211" i="2"/>
  <c r="C216" i="2"/>
  <c r="K71" i="6"/>
  <c r="E71" i="6"/>
  <c r="D93" i="8"/>
  <c r="I61" i="19"/>
  <c r="C117" i="2"/>
  <c r="I117" i="2" s="1"/>
  <c r="C207" i="9"/>
  <c r="C236" i="2"/>
  <c r="M55" i="6"/>
  <c r="K61" i="19"/>
  <c r="C209" i="9"/>
  <c r="C119" i="2"/>
  <c r="I119" i="2" s="1"/>
  <c r="K63" i="19"/>
  <c r="C100" i="9"/>
  <c r="C64" i="2"/>
  <c r="I64" i="2" s="1"/>
  <c r="C214" i="2"/>
  <c r="C210" i="2"/>
  <c r="E25" i="18"/>
  <c r="L69" i="19"/>
  <c r="M73" i="6"/>
  <c r="I400" i="2"/>
  <c r="C226" i="2"/>
  <c r="D75" i="11"/>
  <c r="O419" i="2" s="1"/>
  <c r="AG45" i="2" s="1"/>
  <c r="M50" i="6"/>
  <c r="L105" i="6"/>
  <c r="D25" i="18"/>
  <c r="H85" i="6"/>
  <c r="J85" i="6"/>
  <c r="G85" i="6"/>
  <c r="D85" i="6"/>
  <c r="E85" i="6"/>
  <c r="C85" i="6"/>
  <c r="F85" i="6"/>
  <c r="I85" i="6"/>
  <c r="L85" i="6"/>
  <c r="B85" i="6"/>
  <c r="K85" i="6"/>
  <c r="D22" i="18"/>
  <c r="E81" i="6"/>
  <c r="H81" i="6"/>
  <c r="D81" i="6"/>
  <c r="J81" i="6"/>
  <c r="F81" i="6"/>
  <c r="B81" i="6"/>
  <c r="I81" i="6"/>
  <c r="G81" i="6"/>
  <c r="C81" i="6"/>
  <c r="L81" i="6"/>
  <c r="K81" i="6"/>
  <c r="E105" i="6"/>
  <c r="E65" i="19" s="1"/>
  <c r="D11" i="18"/>
  <c r="J71" i="6"/>
  <c r="B94" i="6"/>
  <c r="B55" i="19" s="1"/>
  <c r="H71" i="6"/>
  <c r="E94" i="6"/>
  <c r="E55" i="19" s="1"/>
  <c r="G71" i="6"/>
  <c r="C71" i="6"/>
  <c r="F71" i="6"/>
  <c r="I94" i="6"/>
  <c r="I55" i="19" s="1"/>
  <c r="L94" i="6"/>
  <c r="L55" i="19" s="1"/>
  <c r="K94" i="6"/>
  <c r="K55" i="19" s="1"/>
  <c r="D71" i="6"/>
  <c r="K105" i="6"/>
  <c r="B105" i="6"/>
  <c r="B108" i="6"/>
  <c r="I71" i="6"/>
  <c r="M62" i="6"/>
  <c r="D14" i="11"/>
  <c r="O407" i="2" s="1"/>
  <c r="AG33" i="2" s="1"/>
  <c r="D4" i="11"/>
  <c r="M48" i="6"/>
  <c r="D404" i="11"/>
  <c r="O518" i="2" s="1"/>
  <c r="AG144" i="2" s="1"/>
  <c r="M58" i="6"/>
  <c r="D6" i="11"/>
  <c r="D11" i="11"/>
  <c r="D12" i="11"/>
  <c r="E22" i="3"/>
  <c r="D12" i="18" s="1"/>
  <c r="L49" i="6"/>
  <c r="D50" i="11" s="1"/>
  <c r="E49" i="6"/>
  <c r="D43" i="11" s="1"/>
  <c r="F49" i="6"/>
  <c r="D44" i="11" s="1"/>
  <c r="G49" i="6"/>
  <c r="D45" i="11" s="1"/>
  <c r="H49" i="6"/>
  <c r="D46" i="11" s="1"/>
  <c r="I49" i="6"/>
  <c r="D47" i="11" s="1"/>
  <c r="B49" i="6"/>
  <c r="J49" i="6"/>
  <c r="D48" i="11" s="1"/>
  <c r="C49" i="6"/>
  <c r="D41" i="11" s="1"/>
  <c r="K49" i="6"/>
  <c r="D49" i="11" s="1"/>
  <c r="D49" i="6"/>
  <c r="D42" i="11" s="1"/>
  <c r="D10" i="11"/>
  <c r="D5" i="11"/>
  <c r="D9" i="11"/>
  <c r="D13" i="11"/>
  <c r="D8" i="11"/>
  <c r="D7" i="11"/>
  <c r="C73" i="2"/>
  <c r="I73" i="2" s="1"/>
  <c r="C131" i="9"/>
  <c r="I521" i="2"/>
  <c r="C237" i="2"/>
  <c r="I455" i="2"/>
  <c r="C231" i="2"/>
  <c r="E13" i="18"/>
  <c r="C76" i="2"/>
  <c r="I76" i="2" s="1"/>
  <c r="C134" i="9"/>
  <c r="I246" i="2"/>
  <c r="C212" i="2"/>
  <c r="O466" i="2"/>
  <c r="AG92" i="2" s="1"/>
  <c r="O455" i="2"/>
  <c r="AG81" i="2" s="1"/>
  <c r="F344" i="11"/>
  <c r="O463" i="2"/>
  <c r="AG89" i="2" s="1"/>
  <c r="O452" i="2"/>
  <c r="AG78" i="2" s="1"/>
  <c r="O505" i="2"/>
  <c r="AG131" i="2" s="1"/>
  <c r="O536" i="2"/>
  <c r="AG162" i="2" s="1"/>
  <c r="O529" i="2"/>
  <c r="AG155" i="2" s="1"/>
  <c r="C37" i="3"/>
  <c r="E37" i="3"/>
  <c r="O451" i="2"/>
  <c r="AG77" i="2" s="1"/>
  <c r="O474" i="2"/>
  <c r="AG100" i="2" s="1"/>
  <c r="O551" i="2"/>
  <c r="AG177" i="2" s="1"/>
  <c r="O441" i="2"/>
  <c r="AG67" i="2" s="1"/>
  <c r="E118" i="15"/>
  <c r="E126" i="15"/>
  <c r="E119" i="15"/>
  <c r="E127" i="15"/>
  <c r="E120" i="15"/>
  <c r="E128" i="15"/>
  <c r="E121" i="15"/>
  <c r="E129" i="15"/>
  <c r="E122" i="15"/>
  <c r="E130" i="15"/>
  <c r="E123" i="15"/>
  <c r="E131" i="15"/>
  <c r="E116" i="15"/>
  <c r="E124" i="15"/>
  <c r="E117" i="15"/>
  <c r="E125" i="15"/>
  <c r="AC38" i="12"/>
  <c r="O543" i="2"/>
  <c r="AG169" i="2" s="1"/>
  <c r="C168" i="2"/>
  <c r="I168" i="2" s="1"/>
  <c r="O528" i="2"/>
  <c r="AG154" i="2" s="1"/>
  <c r="C175" i="2"/>
  <c r="I175" i="2" s="1"/>
  <c r="O550" i="2"/>
  <c r="AG176" i="2" s="1"/>
  <c r="E54" i="15"/>
  <c r="E62" i="15"/>
  <c r="E55" i="15"/>
  <c r="E63" i="15"/>
  <c r="E56" i="15"/>
  <c r="E64" i="15"/>
  <c r="E57" i="15"/>
  <c r="E65" i="15"/>
  <c r="E58" i="15"/>
  <c r="E66" i="15"/>
  <c r="E59" i="15"/>
  <c r="E67" i="15"/>
  <c r="E52" i="15"/>
  <c r="E60" i="15"/>
  <c r="E53" i="15"/>
  <c r="E61" i="15"/>
  <c r="Y38" i="12"/>
  <c r="C161" i="2"/>
  <c r="I161" i="2" s="1"/>
  <c r="O525" i="2"/>
  <c r="AG151" i="2" s="1"/>
  <c r="E166" i="15"/>
  <c r="E174" i="15"/>
  <c r="E167" i="15"/>
  <c r="E175" i="15"/>
  <c r="E168" i="15"/>
  <c r="E176" i="15"/>
  <c r="E169" i="15"/>
  <c r="E177" i="15"/>
  <c r="E170" i="15"/>
  <c r="E178" i="15"/>
  <c r="E171" i="15"/>
  <c r="E179" i="15"/>
  <c r="E164" i="15"/>
  <c r="E172" i="15"/>
  <c r="E173" i="15"/>
  <c r="E165" i="15"/>
  <c r="AF38" i="12"/>
  <c r="C185" i="2"/>
  <c r="I185" i="2" s="1"/>
  <c r="O560" i="2"/>
  <c r="AG186" i="2" s="1"/>
  <c r="C172" i="2"/>
  <c r="I172" i="2" s="1"/>
  <c r="O547" i="2"/>
  <c r="AG173" i="2" s="1"/>
  <c r="E70" i="15"/>
  <c r="E78" i="15"/>
  <c r="E71" i="15"/>
  <c r="E79" i="15"/>
  <c r="E72" i="15"/>
  <c r="E80" i="15"/>
  <c r="E73" i="15"/>
  <c r="E81" i="15"/>
  <c r="E74" i="15"/>
  <c r="E82" i="15"/>
  <c r="E75" i="15"/>
  <c r="E83" i="15"/>
  <c r="E68" i="15"/>
  <c r="E76" i="15"/>
  <c r="E69" i="15"/>
  <c r="E77" i="15"/>
  <c r="Z38" i="12"/>
  <c r="E150" i="15"/>
  <c r="E158" i="15"/>
  <c r="E151" i="15"/>
  <c r="E159" i="15"/>
  <c r="E152" i="15"/>
  <c r="E160" i="15"/>
  <c r="E153" i="15"/>
  <c r="E161" i="15"/>
  <c r="E154" i="15"/>
  <c r="E162" i="15"/>
  <c r="E155" i="15"/>
  <c r="E163" i="15"/>
  <c r="E148" i="15"/>
  <c r="E156" i="15"/>
  <c r="E157" i="15"/>
  <c r="E149" i="15"/>
  <c r="AE38" i="12"/>
  <c r="C183" i="2"/>
  <c r="I183" i="2" s="1"/>
  <c r="O558" i="2"/>
  <c r="AG184" i="2" s="1"/>
  <c r="O521" i="2"/>
  <c r="AG147" i="2" s="1"/>
  <c r="C165" i="2"/>
  <c r="I165" i="2" s="1"/>
  <c r="O540" i="2"/>
  <c r="AG166" i="2" s="1"/>
  <c r="C179" i="2"/>
  <c r="I179" i="2" s="1"/>
  <c r="O554" i="2"/>
  <c r="AG180" i="2" s="1"/>
  <c r="C174" i="2"/>
  <c r="I174" i="2" s="1"/>
  <c r="O549" i="2"/>
  <c r="AG175" i="2" s="1"/>
  <c r="C186" i="2"/>
  <c r="I186" i="2" s="1"/>
  <c r="O561" i="2"/>
  <c r="AG187" i="2" s="1"/>
  <c r="O527" i="2"/>
  <c r="AG153" i="2" s="1"/>
  <c r="B38" i="3"/>
  <c r="C157" i="2" l="1"/>
  <c r="I157" i="2" s="1"/>
  <c r="U100" i="2"/>
  <c r="AA100" i="2"/>
  <c r="U89" i="2"/>
  <c r="AA89" i="2"/>
  <c r="U33" i="2"/>
  <c r="AA33" i="2"/>
  <c r="U153" i="2"/>
  <c r="AA153" i="2"/>
  <c r="U77" i="2"/>
  <c r="AA77" i="2"/>
  <c r="U78" i="2"/>
  <c r="AA78" i="2"/>
  <c r="U166" i="2"/>
  <c r="AA166" i="2"/>
  <c r="U147" i="2"/>
  <c r="AA147" i="2"/>
  <c r="U81" i="2"/>
  <c r="AA81" i="2"/>
  <c r="U176" i="2"/>
  <c r="AA176" i="2"/>
  <c r="U186" i="2"/>
  <c r="AA186" i="2"/>
  <c r="U177" i="2"/>
  <c r="AA177" i="2"/>
  <c r="U173" i="2"/>
  <c r="AA173" i="2"/>
  <c r="U187" i="2"/>
  <c r="AA187" i="2"/>
  <c r="U154" i="2"/>
  <c r="AA154" i="2"/>
  <c r="U92" i="2"/>
  <c r="AA92" i="2"/>
  <c r="U175" i="2"/>
  <c r="AA175" i="2"/>
  <c r="U184" i="2"/>
  <c r="AA184" i="2"/>
  <c r="U169" i="2"/>
  <c r="AA169" i="2"/>
  <c r="U155" i="2"/>
  <c r="AA155" i="2"/>
  <c r="U151" i="2"/>
  <c r="AA151" i="2"/>
  <c r="U162" i="2"/>
  <c r="AA162" i="2"/>
  <c r="U144" i="2"/>
  <c r="AA144" i="2"/>
  <c r="U45" i="2"/>
  <c r="AA45" i="2"/>
  <c r="U180" i="2"/>
  <c r="AA180" i="2"/>
  <c r="U67" i="2"/>
  <c r="AA67" i="2"/>
  <c r="U131" i="2"/>
  <c r="AA131" i="2"/>
  <c r="I72" i="6"/>
  <c r="I88" i="6" s="1"/>
  <c r="C163" i="2"/>
  <c r="I163" i="2" s="1"/>
  <c r="K65" i="19"/>
  <c r="E22" i="18"/>
  <c r="L65" i="19"/>
  <c r="H65" i="6"/>
  <c r="C164" i="2"/>
  <c r="I164" i="2" s="1"/>
  <c r="C176" i="2"/>
  <c r="I176" i="2" s="1"/>
  <c r="B69" i="19"/>
  <c r="C154" i="2"/>
  <c r="I154" i="2" s="1"/>
  <c r="B65" i="19"/>
  <c r="E72" i="6"/>
  <c r="L95" i="6"/>
  <c r="L56" i="19" s="1"/>
  <c r="C72" i="6"/>
  <c r="J72" i="6"/>
  <c r="J88" i="6" s="1"/>
  <c r="C25" i="17" s="1"/>
  <c r="O42" i="2" s="1"/>
  <c r="AG357" i="2" s="1"/>
  <c r="D28" i="18"/>
  <c r="B5" i="5" s="1"/>
  <c r="H72" i="6"/>
  <c r="H88" i="6" s="1"/>
  <c r="E25" i="17" s="1"/>
  <c r="O40" i="2" s="1"/>
  <c r="AG355" i="2" s="1"/>
  <c r="G72" i="6"/>
  <c r="G88" i="6" s="1"/>
  <c r="D25" i="17" s="1"/>
  <c r="O39" i="2" s="1"/>
  <c r="AG354" i="2" s="1"/>
  <c r="B72" i="6"/>
  <c r="G65" i="6"/>
  <c r="E95" i="6"/>
  <c r="D72" i="6"/>
  <c r="D88" i="6" s="1"/>
  <c r="F25" i="17" s="1"/>
  <c r="O36" i="2" s="1"/>
  <c r="AG351" i="2" s="1"/>
  <c r="K95" i="6"/>
  <c r="K111" i="6" s="1"/>
  <c r="K72" i="6"/>
  <c r="K88" i="6" s="1"/>
  <c r="B43" i="3"/>
  <c r="B39" i="3"/>
  <c r="B95" i="6"/>
  <c r="C121" i="2" s="1"/>
  <c r="I121" i="2" s="1"/>
  <c r="L72" i="6"/>
  <c r="L88" i="6" s="1"/>
  <c r="M71" i="6"/>
  <c r="M81" i="6"/>
  <c r="C65" i="6"/>
  <c r="C201" i="2"/>
  <c r="I201" i="2" s="1"/>
  <c r="C257" i="9"/>
  <c r="E65" i="6"/>
  <c r="J65" i="6"/>
  <c r="L65" i="6"/>
  <c r="C207" i="2"/>
  <c r="I207" i="2" s="1"/>
  <c r="C263" i="9"/>
  <c r="C198" i="2"/>
  <c r="I198" i="2" s="1"/>
  <c r="C254" i="9"/>
  <c r="M85" i="6"/>
  <c r="E11" i="18"/>
  <c r="C264" i="9"/>
  <c r="C208" i="2"/>
  <c r="I208" i="2" s="1"/>
  <c r="C261" i="9"/>
  <c r="C205" i="2"/>
  <c r="I205" i="2" s="1"/>
  <c r="E38" i="3"/>
  <c r="F34" i="3" s="1"/>
  <c r="I95" i="6"/>
  <c r="C128" i="2" s="1"/>
  <c r="I128" i="2" s="1"/>
  <c r="F72" i="6"/>
  <c r="F88" i="6" s="1"/>
  <c r="B25" i="17" s="1"/>
  <c r="O38" i="2" s="1"/>
  <c r="AG353" i="2" s="1"/>
  <c r="K65" i="6"/>
  <c r="D40" i="11"/>
  <c r="O408" i="2" s="1"/>
  <c r="AG34" i="2" s="1"/>
  <c r="M49" i="6"/>
  <c r="M65" i="6" s="1"/>
  <c r="F65" i="6"/>
  <c r="B65" i="6"/>
  <c r="D65" i="6"/>
  <c r="O397" i="2"/>
  <c r="AG23" i="2" s="1"/>
  <c r="O406" i="2"/>
  <c r="AG32" i="2" s="1"/>
  <c r="O400" i="2"/>
  <c r="AG26" i="2" s="1"/>
  <c r="I65" i="6"/>
  <c r="O404" i="2"/>
  <c r="AG30" i="2" s="1"/>
  <c r="O426" i="2"/>
  <c r="AG52" i="2" s="1"/>
  <c r="C88" i="6"/>
  <c r="G25" i="17" s="1"/>
  <c r="O35" i="2" s="1"/>
  <c r="AG350" i="2" s="1"/>
  <c r="O429" i="2"/>
  <c r="AG55" i="2" s="1"/>
  <c r="B88" i="6"/>
  <c r="L111" i="6"/>
  <c r="B7" i="18" s="1"/>
  <c r="F519" i="11"/>
  <c r="C162" i="15"/>
  <c r="C158" i="15"/>
  <c r="E86" i="15"/>
  <c r="E94" i="15"/>
  <c r="E87" i="15"/>
  <c r="E95" i="15"/>
  <c r="E88" i="15"/>
  <c r="E96" i="15"/>
  <c r="E89" i="15"/>
  <c r="E97" i="15"/>
  <c r="E90" i="15"/>
  <c r="E98" i="15"/>
  <c r="E91" i="15"/>
  <c r="E99" i="15"/>
  <c r="E84" i="15"/>
  <c r="E92" i="15"/>
  <c r="E85" i="15"/>
  <c r="E93" i="15"/>
  <c r="AA38" i="12"/>
  <c r="C68" i="15"/>
  <c r="C72" i="15"/>
  <c r="C173" i="15"/>
  <c r="C169" i="15"/>
  <c r="C59" i="15"/>
  <c r="C55" i="15"/>
  <c r="C125" i="15"/>
  <c r="C129" i="15"/>
  <c r="O411" i="2"/>
  <c r="AG37" i="2" s="1"/>
  <c r="E102" i="15"/>
  <c r="E110" i="15"/>
  <c r="E103" i="15"/>
  <c r="E111" i="15"/>
  <c r="E104" i="15"/>
  <c r="E112" i="15"/>
  <c r="E105" i="15"/>
  <c r="E113" i="15"/>
  <c r="E106" i="15"/>
  <c r="E114" i="15"/>
  <c r="E107" i="15"/>
  <c r="E115" i="15"/>
  <c r="E100" i="15"/>
  <c r="E108" i="15"/>
  <c r="E109" i="15"/>
  <c r="E101" i="15"/>
  <c r="AB38" i="12"/>
  <c r="C154" i="15"/>
  <c r="C150" i="15"/>
  <c r="C83" i="15"/>
  <c r="C79" i="15"/>
  <c r="C172" i="15"/>
  <c r="C176" i="15"/>
  <c r="C66" i="15"/>
  <c r="C62" i="15"/>
  <c r="C117" i="15"/>
  <c r="C121" i="15"/>
  <c r="E198" i="15"/>
  <c r="E206" i="15"/>
  <c r="E199" i="15"/>
  <c r="E207" i="15"/>
  <c r="E201" i="15"/>
  <c r="E209" i="15"/>
  <c r="E202" i="15"/>
  <c r="E210" i="15"/>
  <c r="E203" i="15"/>
  <c r="E211" i="15"/>
  <c r="E196" i="15"/>
  <c r="E204" i="15"/>
  <c r="E197" i="15"/>
  <c r="E200" i="15"/>
  <c r="E205" i="15"/>
  <c r="E208" i="15"/>
  <c r="AH38" i="12"/>
  <c r="C149" i="15"/>
  <c r="C161" i="15"/>
  <c r="C75" i="15"/>
  <c r="C71" i="15"/>
  <c r="C164" i="15"/>
  <c r="C168" i="15"/>
  <c r="C58" i="15"/>
  <c r="C54" i="15"/>
  <c r="C124" i="15"/>
  <c r="C128" i="15"/>
  <c r="C131" i="2"/>
  <c r="I131" i="2" s="1"/>
  <c r="O418" i="2"/>
  <c r="AG44" i="2" s="1"/>
  <c r="C157" i="15"/>
  <c r="C153" i="15"/>
  <c r="C82" i="15"/>
  <c r="C78" i="15"/>
  <c r="C179" i="15"/>
  <c r="C175" i="15"/>
  <c r="C61" i="15"/>
  <c r="C65" i="15"/>
  <c r="E134" i="15"/>
  <c r="E142" i="15"/>
  <c r="E135" i="15"/>
  <c r="E143" i="15"/>
  <c r="E136" i="15"/>
  <c r="E144" i="15"/>
  <c r="E137" i="15"/>
  <c r="E145" i="15"/>
  <c r="E138" i="15"/>
  <c r="E146" i="15"/>
  <c r="E139" i="15"/>
  <c r="E147" i="15"/>
  <c r="E132" i="15"/>
  <c r="E140" i="15"/>
  <c r="E133" i="15"/>
  <c r="E141" i="15"/>
  <c r="AD38" i="12"/>
  <c r="C116" i="15"/>
  <c r="C120" i="15"/>
  <c r="O417" i="2"/>
  <c r="AG43" i="2" s="1"/>
  <c r="C156" i="15"/>
  <c r="C160" i="15"/>
  <c r="E38" i="15"/>
  <c r="E46" i="15"/>
  <c r="E39" i="15"/>
  <c r="E47" i="15"/>
  <c r="E40" i="15"/>
  <c r="E48" i="15"/>
  <c r="E41" i="15"/>
  <c r="E49" i="15"/>
  <c r="E42" i="15"/>
  <c r="E50" i="15"/>
  <c r="E43" i="15"/>
  <c r="E51" i="15"/>
  <c r="E36" i="15"/>
  <c r="E44" i="15"/>
  <c r="E45" i="15"/>
  <c r="E37" i="15"/>
  <c r="X38" i="12"/>
  <c r="C74" i="15"/>
  <c r="C70" i="15"/>
  <c r="C171" i="15"/>
  <c r="C167" i="15"/>
  <c r="C53" i="15"/>
  <c r="C57" i="15"/>
  <c r="F414" i="11"/>
  <c r="C131" i="15"/>
  <c r="C127" i="15"/>
  <c r="C148" i="15"/>
  <c r="C152" i="15"/>
  <c r="C77" i="15"/>
  <c r="C81" i="15"/>
  <c r="C178" i="15"/>
  <c r="C174" i="15"/>
  <c r="C60" i="15"/>
  <c r="C64" i="15"/>
  <c r="C123" i="15"/>
  <c r="C119" i="15"/>
  <c r="O415" i="2"/>
  <c r="AG41" i="2" s="1"/>
  <c r="C163" i="15"/>
  <c r="C159" i="15"/>
  <c r="C69" i="15"/>
  <c r="C73" i="15"/>
  <c r="C170" i="15"/>
  <c r="C166" i="15"/>
  <c r="C52" i="15"/>
  <c r="C56" i="15"/>
  <c r="C130" i="15"/>
  <c r="C126" i="15"/>
  <c r="C155" i="15"/>
  <c r="C151" i="15"/>
  <c r="C76" i="15"/>
  <c r="C80" i="15"/>
  <c r="C165" i="15"/>
  <c r="C177" i="15"/>
  <c r="C67" i="15"/>
  <c r="C63" i="15"/>
  <c r="C122" i="15"/>
  <c r="C118" i="15"/>
  <c r="C38" i="3"/>
  <c r="C39" i="3" s="1"/>
  <c r="C232" i="9"/>
  <c r="F31" i="3" l="1"/>
  <c r="C242" i="9"/>
  <c r="F23" i="3"/>
  <c r="E12" i="18"/>
  <c r="U539" i="2"/>
  <c r="AA350" i="2"/>
  <c r="U540" i="2"/>
  <c r="AA351" i="2"/>
  <c r="U26" i="2"/>
  <c r="AA26" i="2"/>
  <c r="U543" i="2"/>
  <c r="AA354" i="2"/>
  <c r="U52" i="2"/>
  <c r="AA52" i="2"/>
  <c r="U44" i="2"/>
  <c r="AA44" i="2"/>
  <c r="U32" i="2"/>
  <c r="AA32" i="2"/>
  <c r="U544" i="2"/>
  <c r="AA355" i="2"/>
  <c r="U23" i="2"/>
  <c r="AA23" i="2"/>
  <c r="U55" i="2"/>
  <c r="AA55" i="2"/>
  <c r="U546" i="2"/>
  <c r="AA357" i="2"/>
  <c r="U41" i="2"/>
  <c r="AA41" i="2"/>
  <c r="U30" i="2"/>
  <c r="AA30" i="2"/>
  <c r="U37" i="2"/>
  <c r="AA37" i="2"/>
  <c r="U542" i="2"/>
  <c r="AA353" i="2"/>
  <c r="U43" i="2"/>
  <c r="AA43" i="2"/>
  <c r="U34" i="2"/>
  <c r="AA34" i="2"/>
  <c r="F24" i="3"/>
  <c r="F36" i="3"/>
  <c r="F35" i="3"/>
  <c r="C239" i="9"/>
  <c r="F25" i="3"/>
  <c r="F21" i="3"/>
  <c r="F20" i="3"/>
  <c r="L72" i="19"/>
  <c r="M72" i="6"/>
  <c r="B111" i="6"/>
  <c r="T73" i="5" s="1"/>
  <c r="B56" i="19"/>
  <c r="B72" i="19" s="1"/>
  <c r="I111" i="6"/>
  <c r="I56" i="19"/>
  <c r="I72" i="19" s="1"/>
  <c r="E88" i="6"/>
  <c r="F32" i="3"/>
  <c r="F28" i="3"/>
  <c r="C241" i="9"/>
  <c r="K56" i="19"/>
  <c r="K72" i="19" s="1"/>
  <c r="F27" i="3"/>
  <c r="F22" i="3"/>
  <c r="F33" i="3"/>
  <c r="C124" i="2"/>
  <c r="I124" i="2" s="1"/>
  <c r="E56" i="19"/>
  <c r="E72" i="19" s="1"/>
  <c r="F29" i="3"/>
  <c r="F26" i="3"/>
  <c r="F30" i="3"/>
  <c r="E28" i="18"/>
  <c r="D5" i="5" s="1"/>
  <c r="C130" i="2"/>
  <c r="I130" i="2" s="1"/>
  <c r="B6" i="18"/>
  <c r="E39" i="3"/>
  <c r="E111" i="6"/>
  <c r="S73" i="5" s="1"/>
  <c r="C235" i="9"/>
  <c r="E40" i="17"/>
  <c r="O205" i="2" s="1"/>
  <c r="AG520" i="2" s="1"/>
  <c r="D35" i="17"/>
  <c r="O138" i="2" s="1"/>
  <c r="AG453" i="2" s="1"/>
  <c r="C31" i="17"/>
  <c r="O108" i="2" s="1"/>
  <c r="AG423" i="2" s="1"/>
  <c r="C35" i="17"/>
  <c r="O141" i="2" s="1"/>
  <c r="AG456" i="2" s="1"/>
  <c r="C36" i="17"/>
  <c r="O163" i="2" s="1"/>
  <c r="AG478" i="2" s="1"/>
  <c r="C27" i="17"/>
  <c r="O64" i="2" s="1"/>
  <c r="AG379" i="2" s="1"/>
  <c r="C30" i="17"/>
  <c r="O97" i="2" s="1"/>
  <c r="AG412" i="2" s="1"/>
  <c r="C37" i="17"/>
  <c r="O174" i="2" s="1"/>
  <c r="AG489" i="2" s="1"/>
  <c r="C38" i="17"/>
  <c r="O185" i="2" s="1"/>
  <c r="AG500" i="2" s="1"/>
  <c r="C33" i="17"/>
  <c r="O130" i="2" s="1"/>
  <c r="AG445" i="2" s="1"/>
  <c r="C32" i="17"/>
  <c r="O119" i="2" s="1"/>
  <c r="AG434" i="2" s="1"/>
  <c r="C39" i="17"/>
  <c r="O196" i="2" s="1"/>
  <c r="AG511" i="2" s="1"/>
  <c r="C29" i="17"/>
  <c r="O86" i="2" s="1"/>
  <c r="AG401" i="2" s="1"/>
  <c r="C40" i="17"/>
  <c r="O207" i="2" s="1"/>
  <c r="AG522" i="2" s="1"/>
  <c r="C26" i="17"/>
  <c r="O53" i="2" s="1"/>
  <c r="AG368" i="2" s="1"/>
  <c r="C34" i="17"/>
  <c r="O152" i="2" s="1"/>
  <c r="AG467" i="2" s="1"/>
  <c r="C28" i="17"/>
  <c r="O75" i="2" s="1"/>
  <c r="AG390" i="2" s="1"/>
  <c r="C24" i="17"/>
  <c r="O31" i="2" s="1"/>
  <c r="AG346" i="2" s="1"/>
  <c r="G34" i="17"/>
  <c r="O145" i="2" s="1"/>
  <c r="AG460" i="2" s="1"/>
  <c r="G33" i="17"/>
  <c r="O123" i="2" s="1"/>
  <c r="AG438" i="2" s="1"/>
  <c r="G39" i="17"/>
  <c r="O189" i="2" s="1"/>
  <c r="AG504" i="2" s="1"/>
  <c r="G37" i="17"/>
  <c r="O167" i="2" s="1"/>
  <c r="AG482" i="2" s="1"/>
  <c r="G40" i="17"/>
  <c r="O200" i="2" s="1"/>
  <c r="AG515" i="2" s="1"/>
  <c r="G35" i="17"/>
  <c r="O134" i="2" s="1"/>
  <c r="AG449" i="2" s="1"/>
  <c r="G36" i="17"/>
  <c r="O156" i="2" s="1"/>
  <c r="AG471" i="2" s="1"/>
  <c r="G38" i="17"/>
  <c r="O178" i="2" s="1"/>
  <c r="AG493" i="2" s="1"/>
  <c r="G32" i="17"/>
  <c r="O112" i="2" s="1"/>
  <c r="AG427" i="2" s="1"/>
  <c r="G29" i="17"/>
  <c r="O79" i="2" s="1"/>
  <c r="AG394" i="2" s="1"/>
  <c r="G27" i="17"/>
  <c r="O57" i="2" s="1"/>
  <c r="AG372" i="2" s="1"/>
  <c r="G30" i="17"/>
  <c r="O90" i="2" s="1"/>
  <c r="AG405" i="2" s="1"/>
  <c r="G24" i="17"/>
  <c r="O24" i="2" s="1"/>
  <c r="AG339" i="2" s="1"/>
  <c r="G28" i="17"/>
  <c r="O68" i="2" s="1"/>
  <c r="AG383" i="2" s="1"/>
  <c r="G31" i="17"/>
  <c r="O101" i="2" s="1"/>
  <c r="AG416" i="2" s="1"/>
  <c r="G26" i="17"/>
  <c r="O46" i="2" s="1"/>
  <c r="AG361" i="2" s="1"/>
  <c r="F38" i="17"/>
  <c r="O179" i="2" s="1"/>
  <c r="AG494" i="2" s="1"/>
  <c r="F40" i="17"/>
  <c r="O201" i="2" s="1"/>
  <c r="AG516" i="2" s="1"/>
  <c r="F37" i="17"/>
  <c r="O168" i="2" s="1"/>
  <c r="AG483" i="2" s="1"/>
  <c r="F36" i="17"/>
  <c r="O157" i="2" s="1"/>
  <c r="AG472" i="2" s="1"/>
  <c r="F33" i="17"/>
  <c r="O124" i="2" s="1"/>
  <c r="AG439" i="2" s="1"/>
  <c r="F34" i="17"/>
  <c r="O146" i="2" s="1"/>
  <c r="AG461" i="2" s="1"/>
  <c r="F39" i="17"/>
  <c r="O190" i="2" s="1"/>
  <c r="AG505" i="2" s="1"/>
  <c r="F35" i="17"/>
  <c r="O135" i="2" s="1"/>
  <c r="AG450" i="2" s="1"/>
  <c r="F28" i="17"/>
  <c r="O69" i="2" s="1"/>
  <c r="AG384" i="2" s="1"/>
  <c r="F27" i="17"/>
  <c r="O58" i="2" s="1"/>
  <c r="AG373" i="2" s="1"/>
  <c r="F29" i="17"/>
  <c r="O80" i="2" s="1"/>
  <c r="AG395" i="2" s="1"/>
  <c r="F24" i="17"/>
  <c r="O25" i="2" s="1"/>
  <c r="AG340" i="2" s="1"/>
  <c r="F26" i="17"/>
  <c r="O47" i="2" s="1"/>
  <c r="AG362" i="2" s="1"/>
  <c r="F31" i="17"/>
  <c r="O102" i="2" s="1"/>
  <c r="AG417" i="2" s="1"/>
  <c r="F30" i="17"/>
  <c r="O91" i="2" s="1"/>
  <c r="AG406" i="2" s="1"/>
  <c r="F32" i="17"/>
  <c r="O113" i="2" s="1"/>
  <c r="AG428" i="2" s="1"/>
  <c r="E38" i="17"/>
  <c r="O183" i="2" s="1"/>
  <c r="AG498" i="2" s="1"/>
  <c r="E34" i="17"/>
  <c r="O150" i="2" s="1"/>
  <c r="AG465" i="2" s="1"/>
  <c r="E33" i="17"/>
  <c r="O128" i="2" s="1"/>
  <c r="AG443" i="2" s="1"/>
  <c r="E39" i="17"/>
  <c r="O194" i="2" s="1"/>
  <c r="AG509" i="2" s="1"/>
  <c r="E35" i="17"/>
  <c r="O139" i="2" s="1"/>
  <c r="AG454" i="2" s="1"/>
  <c r="E36" i="17"/>
  <c r="O161" i="2" s="1"/>
  <c r="AG476" i="2" s="1"/>
  <c r="E37" i="17"/>
  <c r="O172" i="2" s="1"/>
  <c r="AG487" i="2" s="1"/>
  <c r="E32" i="17"/>
  <c r="O117" i="2" s="1"/>
  <c r="AG432" i="2" s="1"/>
  <c r="E28" i="17"/>
  <c r="O73" i="2" s="1"/>
  <c r="AG388" i="2" s="1"/>
  <c r="E31" i="17"/>
  <c r="O106" i="2" s="1"/>
  <c r="AG421" i="2" s="1"/>
  <c r="E29" i="17"/>
  <c r="O84" i="2" s="1"/>
  <c r="AG399" i="2" s="1"/>
  <c r="E27" i="17"/>
  <c r="O62" i="2" s="1"/>
  <c r="AG377" i="2" s="1"/>
  <c r="E30" i="17"/>
  <c r="O95" i="2" s="1"/>
  <c r="AG410" i="2" s="1"/>
  <c r="E24" i="17"/>
  <c r="O29" i="2" s="1"/>
  <c r="AG344" i="2" s="1"/>
  <c r="E26" i="17"/>
  <c r="O51" i="2" s="1"/>
  <c r="AG366" i="2" s="1"/>
  <c r="B38" i="17"/>
  <c r="O181" i="2" s="1"/>
  <c r="AG496" i="2" s="1"/>
  <c r="B34" i="17"/>
  <c r="O148" i="2" s="1"/>
  <c r="AG463" i="2" s="1"/>
  <c r="B37" i="17"/>
  <c r="O170" i="2" s="1"/>
  <c r="AG485" i="2" s="1"/>
  <c r="B33" i="17"/>
  <c r="O126" i="2" s="1"/>
  <c r="AG441" i="2" s="1"/>
  <c r="B35" i="17"/>
  <c r="O137" i="2" s="1"/>
  <c r="AG452" i="2" s="1"/>
  <c r="B36" i="17"/>
  <c r="O159" i="2" s="1"/>
  <c r="AG474" i="2" s="1"/>
  <c r="B39" i="17"/>
  <c r="O192" i="2" s="1"/>
  <c r="AG507" i="2" s="1"/>
  <c r="B40" i="17"/>
  <c r="O203" i="2" s="1"/>
  <c r="AG518" i="2" s="1"/>
  <c r="B30" i="17"/>
  <c r="O93" i="2" s="1"/>
  <c r="AG408" i="2" s="1"/>
  <c r="B32" i="17"/>
  <c r="O115" i="2" s="1"/>
  <c r="AG430" i="2" s="1"/>
  <c r="B29" i="17"/>
  <c r="O82" i="2" s="1"/>
  <c r="AG397" i="2" s="1"/>
  <c r="B28" i="17"/>
  <c r="O71" i="2" s="1"/>
  <c r="AG386" i="2" s="1"/>
  <c r="B24" i="17"/>
  <c r="O27" i="2" s="1"/>
  <c r="AG342" i="2" s="1"/>
  <c r="B31" i="17"/>
  <c r="O104" i="2" s="1"/>
  <c r="AG419" i="2" s="1"/>
  <c r="B27" i="17"/>
  <c r="O60" i="2" s="1"/>
  <c r="AG375" i="2" s="1"/>
  <c r="B26" i="17"/>
  <c r="O49" i="2" s="1"/>
  <c r="AG364" i="2" s="1"/>
  <c r="D38" i="17"/>
  <c r="O182" i="2" s="1"/>
  <c r="AG497" i="2" s="1"/>
  <c r="D36" i="17"/>
  <c r="O160" i="2" s="1"/>
  <c r="AG475" i="2" s="1"/>
  <c r="D37" i="17"/>
  <c r="O171" i="2" s="1"/>
  <c r="AG486" i="2" s="1"/>
  <c r="D33" i="17"/>
  <c r="O127" i="2" s="1"/>
  <c r="AG442" i="2" s="1"/>
  <c r="D40" i="17"/>
  <c r="O204" i="2" s="1"/>
  <c r="AG519" i="2" s="1"/>
  <c r="D34" i="17"/>
  <c r="O149" i="2" s="1"/>
  <c r="AG464" i="2" s="1"/>
  <c r="D39" i="17"/>
  <c r="O193" i="2" s="1"/>
  <c r="AG508" i="2" s="1"/>
  <c r="D28" i="17"/>
  <c r="O72" i="2" s="1"/>
  <c r="AG387" i="2" s="1"/>
  <c r="D32" i="17"/>
  <c r="O116" i="2" s="1"/>
  <c r="AG431" i="2" s="1"/>
  <c r="D29" i="17"/>
  <c r="O83" i="2" s="1"/>
  <c r="AG398" i="2" s="1"/>
  <c r="D27" i="17"/>
  <c r="O61" i="2" s="1"/>
  <c r="AG376" i="2" s="1"/>
  <c r="D24" i="17"/>
  <c r="O28" i="2" s="1"/>
  <c r="AG343" i="2" s="1"/>
  <c r="D30" i="17"/>
  <c r="O94" i="2" s="1"/>
  <c r="AG409" i="2" s="1"/>
  <c r="D26" i="17"/>
  <c r="O50" i="2" s="1"/>
  <c r="AG365" i="2" s="1"/>
  <c r="D31" i="17"/>
  <c r="O105" i="2" s="1"/>
  <c r="AG420" i="2" s="1"/>
  <c r="M88" i="6"/>
  <c r="C109" i="15"/>
  <c r="C51" i="15"/>
  <c r="C47" i="15"/>
  <c r="C147" i="15"/>
  <c r="C143" i="15"/>
  <c r="C196" i="15"/>
  <c r="C199" i="15"/>
  <c r="C108" i="15"/>
  <c r="C112" i="15"/>
  <c r="C92" i="15"/>
  <c r="C96" i="15"/>
  <c r="C89" i="15"/>
  <c r="C43" i="15"/>
  <c r="C39" i="15"/>
  <c r="C139" i="15"/>
  <c r="C135" i="15"/>
  <c r="C211" i="15"/>
  <c r="C206" i="15"/>
  <c r="C100" i="15"/>
  <c r="C104" i="15"/>
  <c r="C84" i="15"/>
  <c r="C88" i="15"/>
  <c r="C50" i="15"/>
  <c r="C146" i="15"/>
  <c r="C142" i="15"/>
  <c r="C203" i="15"/>
  <c r="C198" i="15"/>
  <c r="C115" i="15"/>
  <c r="C111" i="15"/>
  <c r="C99" i="15"/>
  <c r="C95" i="15"/>
  <c r="C136" i="15"/>
  <c r="C85" i="15"/>
  <c r="C42" i="15"/>
  <c r="C138" i="15"/>
  <c r="C208" i="15"/>
  <c r="C210" i="15"/>
  <c r="C107" i="15"/>
  <c r="C103" i="15"/>
  <c r="C91" i="15"/>
  <c r="C87" i="15"/>
  <c r="C36" i="15"/>
  <c r="C132" i="15"/>
  <c r="C105" i="15"/>
  <c r="C46" i="15"/>
  <c r="C38" i="15"/>
  <c r="C134" i="15"/>
  <c r="C37" i="15"/>
  <c r="C49" i="15"/>
  <c r="C141" i="15"/>
  <c r="C145" i="15"/>
  <c r="C205" i="15"/>
  <c r="C202" i="15"/>
  <c r="C114" i="15"/>
  <c r="C110" i="15"/>
  <c r="C98" i="15"/>
  <c r="C94" i="15"/>
  <c r="C40" i="15"/>
  <c r="C204" i="15"/>
  <c r="C45" i="15"/>
  <c r="C41" i="15"/>
  <c r="C133" i="15"/>
  <c r="C137" i="15"/>
  <c r="C200" i="15"/>
  <c r="C209" i="15"/>
  <c r="C106" i="15"/>
  <c r="C102" i="15"/>
  <c r="C90" i="15"/>
  <c r="C86" i="15"/>
  <c r="C207" i="15"/>
  <c r="C44" i="15"/>
  <c r="C48" i="15"/>
  <c r="C140" i="15"/>
  <c r="C144" i="15"/>
  <c r="C197" i="15"/>
  <c r="C201" i="15"/>
  <c r="E10" i="15"/>
  <c r="E18" i="15"/>
  <c r="E11" i="15"/>
  <c r="E19" i="15"/>
  <c r="E12" i="15"/>
  <c r="E4" i="15"/>
  <c r="E5" i="15"/>
  <c r="E13" i="15"/>
  <c r="E6" i="15"/>
  <c r="E14" i="15"/>
  <c r="E17" i="15"/>
  <c r="E7" i="15"/>
  <c r="E8" i="15"/>
  <c r="E9" i="15"/>
  <c r="E16" i="15"/>
  <c r="E15" i="15"/>
  <c r="V38" i="12"/>
  <c r="C101" i="15"/>
  <c r="C113" i="15"/>
  <c r="C93" i="15"/>
  <c r="C97" i="15"/>
  <c r="U598" i="2" l="1"/>
  <c r="AA409" i="2"/>
  <c r="U641" i="2"/>
  <c r="AA452" i="2"/>
  <c r="U698" i="2"/>
  <c r="AA509" i="2"/>
  <c r="U661" i="2"/>
  <c r="AA472" i="2"/>
  <c r="U671" i="2"/>
  <c r="AA482" i="2"/>
  <c r="U568" i="2"/>
  <c r="AA379" i="2"/>
  <c r="U532" i="2"/>
  <c r="AA343" i="2"/>
  <c r="U565" i="2"/>
  <c r="AA376" i="2"/>
  <c r="U586" i="2"/>
  <c r="AA397" i="2"/>
  <c r="U610" i="2"/>
  <c r="AA421" i="2"/>
  <c r="U562" i="2"/>
  <c r="AA373" i="2"/>
  <c r="U583" i="2"/>
  <c r="AA394" i="2"/>
  <c r="U700" i="2"/>
  <c r="AA511" i="2"/>
  <c r="U645" i="2"/>
  <c r="AA456" i="2"/>
  <c r="U587" i="2"/>
  <c r="AA398" i="2"/>
  <c r="U652" i="2"/>
  <c r="AA463" i="2"/>
  <c r="U687" i="2"/>
  <c r="AA498" i="2"/>
  <c r="U573" i="2"/>
  <c r="AA384" i="2"/>
  <c r="U616" i="2"/>
  <c r="AA427" i="2"/>
  <c r="U623" i="2"/>
  <c r="AA434" i="2"/>
  <c r="U686" i="2"/>
  <c r="AA497" i="2"/>
  <c r="U685" i="2"/>
  <c r="AA496" i="2"/>
  <c r="U617" i="2"/>
  <c r="AA428" i="2"/>
  <c r="U550" i="2"/>
  <c r="AA361" i="2"/>
  <c r="U682" i="2"/>
  <c r="AA493" i="2"/>
  <c r="U535" i="2"/>
  <c r="AA346" i="2"/>
  <c r="U634" i="2"/>
  <c r="AA445" i="2"/>
  <c r="U642" i="2"/>
  <c r="AA453" i="2"/>
  <c r="U531" i="2"/>
  <c r="AA342" i="2"/>
  <c r="U566" i="2"/>
  <c r="AA377" i="2"/>
  <c r="U529" i="2"/>
  <c r="AA340" i="2"/>
  <c r="U594" i="2"/>
  <c r="AA405" i="2"/>
  <c r="U711" i="2"/>
  <c r="AA522" i="2"/>
  <c r="U631" i="2"/>
  <c r="AA442" i="2"/>
  <c r="U675" i="2"/>
  <c r="AA486" i="2"/>
  <c r="U674" i="2"/>
  <c r="AA485" i="2"/>
  <c r="U654" i="2"/>
  <c r="AA465" i="2"/>
  <c r="U705" i="2"/>
  <c r="AA516" i="2"/>
  <c r="U627" i="2"/>
  <c r="AA438" i="2"/>
  <c r="U664" i="2"/>
  <c r="AA475" i="2"/>
  <c r="U619" i="2"/>
  <c r="AA430" i="2"/>
  <c r="U577" i="2"/>
  <c r="AA388" i="2"/>
  <c r="U683" i="2"/>
  <c r="AA494" i="2"/>
  <c r="U649" i="2"/>
  <c r="AA460" i="2"/>
  <c r="U612" i="2"/>
  <c r="AA423" i="2"/>
  <c r="U620" i="2"/>
  <c r="AA431" i="2"/>
  <c r="U597" i="2"/>
  <c r="AA408" i="2"/>
  <c r="U621" i="2"/>
  <c r="AA432" i="2"/>
  <c r="U639" i="2"/>
  <c r="AA450" i="2"/>
  <c r="U576" i="2"/>
  <c r="AA387" i="2"/>
  <c r="U553" i="2"/>
  <c r="AA364" i="2"/>
  <c r="U707" i="2"/>
  <c r="AA518" i="2"/>
  <c r="U555" i="2"/>
  <c r="AA366" i="2"/>
  <c r="U676" i="2"/>
  <c r="AA487" i="2"/>
  <c r="U595" i="2"/>
  <c r="AA406" i="2"/>
  <c r="U694" i="2"/>
  <c r="AA505" i="2"/>
  <c r="U605" i="2"/>
  <c r="AA416" i="2"/>
  <c r="U660" i="2"/>
  <c r="AA471" i="2"/>
  <c r="U579" i="2"/>
  <c r="AA390" i="2"/>
  <c r="U689" i="2"/>
  <c r="AA500" i="2"/>
  <c r="U709" i="2"/>
  <c r="AA520" i="2"/>
  <c r="U708" i="2"/>
  <c r="AA519" i="2"/>
  <c r="U630" i="2"/>
  <c r="AA441" i="2"/>
  <c r="U632" i="2"/>
  <c r="AA443" i="2"/>
  <c r="U584" i="2"/>
  <c r="AA395" i="2"/>
  <c r="U561" i="2"/>
  <c r="AA372" i="2"/>
  <c r="U693" i="2"/>
  <c r="AA504" i="2"/>
  <c r="U590" i="2"/>
  <c r="AA401" i="2"/>
  <c r="U667" i="2"/>
  <c r="AA478" i="2"/>
  <c r="U697" i="2"/>
  <c r="AA508" i="2"/>
  <c r="U564" i="2"/>
  <c r="AA375" i="2"/>
  <c r="U533" i="2"/>
  <c r="AA344" i="2"/>
  <c r="U650" i="2"/>
  <c r="AA461" i="2"/>
  <c r="U638" i="2"/>
  <c r="AA449" i="2"/>
  <c r="U678" i="2"/>
  <c r="AA489" i="2"/>
  <c r="U575" i="2"/>
  <c r="AA386" i="2"/>
  <c r="U588" i="2"/>
  <c r="AA399" i="2"/>
  <c r="U672" i="2"/>
  <c r="AA483" i="2"/>
  <c r="U609" i="2"/>
  <c r="AA420" i="2"/>
  <c r="U696" i="2"/>
  <c r="AA507" i="2"/>
  <c r="U665" i="2"/>
  <c r="AA476" i="2"/>
  <c r="U606" i="2"/>
  <c r="AA417" i="2"/>
  <c r="U572" i="2"/>
  <c r="AA383" i="2"/>
  <c r="U656" i="2"/>
  <c r="AA467" i="2"/>
  <c r="U554" i="2"/>
  <c r="AA365" i="2"/>
  <c r="U653" i="2"/>
  <c r="AA464" i="2"/>
  <c r="U608" i="2"/>
  <c r="AA419" i="2"/>
  <c r="U663" i="2"/>
  <c r="AA474" i="2"/>
  <c r="U599" i="2"/>
  <c r="AA410" i="2"/>
  <c r="U643" i="2"/>
  <c r="AA454" i="2"/>
  <c r="U551" i="2"/>
  <c r="AA362" i="2"/>
  <c r="U628" i="2"/>
  <c r="AA439" i="2"/>
  <c r="U528" i="2"/>
  <c r="AA339" i="2"/>
  <c r="U704" i="2"/>
  <c r="AA515" i="2"/>
  <c r="U557" i="2"/>
  <c r="AA368" i="2"/>
  <c r="U601" i="2"/>
  <c r="AA412" i="2"/>
  <c r="F38" i="3"/>
  <c r="C11" i="15"/>
  <c r="C9" i="15"/>
  <c r="C4" i="15"/>
  <c r="E182" i="15"/>
  <c r="E190" i="15"/>
  <c r="E183" i="15"/>
  <c r="E191" i="15"/>
  <c r="E184" i="15"/>
  <c r="E185" i="15"/>
  <c r="E193" i="15"/>
  <c r="E186" i="15"/>
  <c r="E194" i="15"/>
  <c r="E187" i="15"/>
  <c r="E195" i="15"/>
  <c r="E180" i="15"/>
  <c r="E188" i="15"/>
  <c r="E181" i="15"/>
  <c r="E189" i="15"/>
  <c r="E192" i="15"/>
  <c r="AG38" i="12"/>
  <c r="C7" i="15"/>
  <c r="C19" i="15"/>
  <c r="E214" i="15"/>
  <c r="E222" i="15"/>
  <c r="E215" i="15"/>
  <c r="E223" i="15"/>
  <c r="E217" i="15"/>
  <c r="E218" i="15"/>
  <c r="E226" i="15"/>
  <c r="E219" i="15"/>
  <c r="E227" i="15"/>
  <c r="E212" i="15"/>
  <c r="E220" i="15"/>
  <c r="E213" i="15"/>
  <c r="E216" i="15"/>
  <c r="E221" i="15"/>
  <c r="E224" i="15"/>
  <c r="E225" i="15"/>
  <c r="AI38" i="12"/>
  <c r="E235" i="15"/>
  <c r="E243" i="15"/>
  <c r="E231" i="15"/>
  <c r="E240" i="15"/>
  <c r="E232" i="15"/>
  <c r="E241" i="15"/>
  <c r="E233" i="15"/>
  <c r="E242" i="15"/>
  <c r="E234" i="15"/>
  <c r="E236" i="15"/>
  <c r="E237" i="15"/>
  <c r="E238" i="15"/>
  <c r="E239" i="15"/>
  <c r="E228" i="15"/>
  <c r="E229" i="15"/>
  <c r="E230" i="15"/>
  <c r="AJ38" i="12"/>
  <c r="C12" i="15"/>
  <c r="C8" i="15"/>
  <c r="C14" i="15"/>
  <c r="C18" i="15"/>
  <c r="C6" i="15"/>
  <c r="C10" i="15"/>
  <c r="C17" i="15"/>
  <c r="C15" i="15"/>
  <c r="C13" i="15"/>
  <c r="C16" i="15"/>
  <c r="C5" i="15"/>
  <c r="C229" i="15" l="1"/>
  <c r="C233" i="15"/>
  <c r="C227" i="15"/>
  <c r="C214" i="15"/>
  <c r="C181" i="15"/>
  <c r="C185" i="15"/>
  <c r="C228" i="15"/>
  <c r="C241" i="15"/>
  <c r="C225" i="15"/>
  <c r="C219" i="15"/>
  <c r="C188" i="15"/>
  <c r="C184" i="15"/>
  <c r="C239" i="15"/>
  <c r="C232" i="15"/>
  <c r="C224" i="15"/>
  <c r="C226" i="15"/>
  <c r="C180" i="15"/>
  <c r="C191" i="15"/>
  <c r="C238" i="15"/>
  <c r="C240" i="15"/>
  <c r="C221" i="15"/>
  <c r="C218" i="15"/>
  <c r="C195" i="15"/>
  <c r="C183" i="15"/>
  <c r="C237" i="15"/>
  <c r="C231" i="15"/>
  <c r="C216" i="15"/>
  <c r="C217" i="15"/>
  <c r="C187" i="15"/>
  <c r="C190" i="15"/>
  <c r="C243" i="15"/>
  <c r="C213" i="15"/>
  <c r="C223" i="15"/>
  <c r="C194" i="15"/>
  <c r="C182" i="15"/>
  <c r="C236" i="15"/>
  <c r="E22" i="15"/>
  <c r="E30" i="15"/>
  <c r="E23" i="15"/>
  <c r="E31" i="15"/>
  <c r="E24" i="15"/>
  <c r="E32" i="15"/>
  <c r="E25" i="15"/>
  <c r="E33" i="15"/>
  <c r="E26" i="15"/>
  <c r="E34" i="15"/>
  <c r="E27" i="15"/>
  <c r="E35" i="15"/>
  <c r="E20" i="15"/>
  <c r="E28" i="15"/>
  <c r="E21" i="15"/>
  <c r="E29" i="15"/>
  <c r="W38" i="12"/>
  <c r="C234" i="15"/>
  <c r="C235" i="15"/>
  <c r="C220" i="15"/>
  <c r="C215" i="15"/>
  <c r="C192" i="15"/>
  <c r="C186" i="15"/>
  <c r="C230" i="15"/>
  <c r="C242" i="15"/>
  <c r="C212" i="15"/>
  <c r="C222" i="15"/>
  <c r="C189" i="15"/>
  <c r="C193" i="15"/>
  <c r="C29" i="15" l="1"/>
  <c r="C33" i="15"/>
  <c r="C25" i="15"/>
  <c r="C28" i="15"/>
  <c r="C32" i="15"/>
  <c r="C20" i="15"/>
  <c r="C24" i="15"/>
  <c r="C31" i="15"/>
  <c r="C35" i="15"/>
  <c r="C23" i="15"/>
  <c r="C34" i="15"/>
  <c r="C30" i="15"/>
  <c r="C21" i="15"/>
  <c r="C27" i="15"/>
  <c r="C26" i="15"/>
  <c r="C22" i="15"/>
  <c r="C32" i="9"/>
  <c r="C64" i="9"/>
  <c r="C97" i="9"/>
  <c r="C130" i="9"/>
  <c r="C174" i="9"/>
  <c r="C206" i="9"/>
  <c r="C238" i="9"/>
  <c r="C249" i="9"/>
  <c r="C260" i="9"/>
  <c r="C39" i="2"/>
  <c r="I39" i="2" s="1"/>
  <c r="C50" i="2"/>
  <c r="I50" i="2" s="1"/>
  <c r="C61" i="2"/>
  <c r="I61" i="2" s="1"/>
  <c r="C72" i="2"/>
  <c r="I72" i="2" s="1"/>
  <c r="C83" i="2"/>
  <c r="I83" i="2" s="1"/>
  <c r="C105" i="2"/>
  <c r="I105" i="2" s="1"/>
  <c r="C116" i="2"/>
  <c r="I116" i="2" s="1"/>
  <c r="C127" i="2"/>
  <c r="I127" i="2" s="1"/>
  <c r="C138" i="2"/>
  <c r="I138" i="2" s="1"/>
  <c r="C149" i="2"/>
  <c r="I149" i="2" s="1"/>
  <c r="C160" i="2"/>
  <c r="I160" i="2" s="1"/>
  <c r="C171" i="2"/>
  <c r="I171" i="2" s="1"/>
  <c r="C182" i="2"/>
  <c r="I182" i="2" s="1"/>
  <c r="C193" i="2"/>
  <c r="I193" i="2" s="1"/>
  <c r="C204" i="2"/>
  <c r="I204" i="2" s="1"/>
  <c r="B41" i="17"/>
  <c r="B42" i="17" s="1"/>
  <c r="F94" i="6"/>
  <c r="F55" i="19" s="1"/>
  <c r="F95" i="6"/>
  <c r="F56" i="19" s="1"/>
  <c r="F96" i="6"/>
  <c r="F57" i="19" s="1"/>
  <c r="F97" i="6"/>
  <c r="F58" i="19" s="1"/>
  <c r="F98" i="6"/>
  <c r="F59" i="19" s="1"/>
  <c r="F99" i="6"/>
  <c r="F60" i="19" s="1"/>
  <c r="F100" i="6"/>
  <c r="F61" i="19" s="1"/>
  <c r="F101" i="6"/>
  <c r="F62" i="19" s="1"/>
  <c r="F102" i="6"/>
  <c r="F63" i="19" s="1"/>
  <c r="F103" i="6"/>
  <c r="F64" i="19" s="1"/>
  <c r="F104" i="6"/>
  <c r="F66" i="19" s="1"/>
  <c r="F105" i="6"/>
  <c r="F65" i="19" s="1"/>
  <c r="F106" i="6"/>
  <c r="F67" i="19" s="1"/>
  <c r="F107" i="6"/>
  <c r="F68" i="19" s="1"/>
  <c r="F108" i="6"/>
  <c r="F69" i="19" s="1"/>
  <c r="F109" i="6"/>
  <c r="F70" i="19" s="1"/>
  <c r="F110" i="6"/>
  <c r="F71" i="19" s="1"/>
  <c r="F72" i="19" l="1"/>
  <c r="F111" i="6"/>
  <c r="C172" i="9"/>
  <c r="C103" i="2"/>
  <c r="I103" i="2" s="1"/>
  <c r="C95" i="9"/>
  <c r="C59" i="2"/>
  <c r="I59" i="2" s="1"/>
  <c r="C202" i="2"/>
  <c r="I202" i="2" s="1"/>
  <c r="C258" i="9"/>
  <c r="C169" i="2"/>
  <c r="I169" i="2" s="1"/>
  <c r="C204" i="9"/>
  <c r="C114" i="2"/>
  <c r="I114" i="2" s="1"/>
  <c r="C128" i="9"/>
  <c r="C70" i="2"/>
  <c r="I70" i="2" s="1"/>
  <c r="N73" i="5"/>
  <c r="C247" i="9"/>
  <c r="C191" i="2"/>
  <c r="I191" i="2" s="1"/>
  <c r="C180" i="2"/>
  <c r="I180" i="2" s="1"/>
  <c r="C37" i="2"/>
  <c r="I37" i="2" s="1"/>
  <c r="C30" i="9"/>
  <c r="C62" i="9"/>
  <c r="C48" i="2"/>
  <c r="I48" i="2" s="1"/>
  <c r="C81" i="2"/>
  <c r="I81" i="2" s="1"/>
  <c r="C158" i="2"/>
  <c r="I158" i="2" s="1"/>
  <c r="C136" i="2"/>
  <c r="I136" i="2" s="1"/>
  <c r="C125" i="2"/>
  <c r="I125" i="2" s="1"/>
  <c r="C236" i="9"/>
  <c r="C147" i="2"/>
  <c r="I147" i="2" s="1"/>
  <c r="O511" i="2" l="1"/>
  <c r="AG137" i="2" s="1"/>
  <c r="O555" i="2"/>
  <c r="AG181" i="2" s="1"/>
  <c r="O544" i="2"/>
  <c r="AG170" i="2" s="1"/>
  <c r="O489" i="2"/>
  <c r="AG115" i="2" s="1"/>
  <c r="O500" i="2"/>
  <c r="AG126" i="2" s="1"/>
  <c r="O478" i="2"/>
  <c r="AG104" i="2" s="1"/>
  <c r="O423" i="2"/>
  <c r="AG49" i="2" s="1"/>
  <c r="O522" i="2"/>
  <c r="AG148" i="2" s="1"/>
  <c r="O412" i="2"/>
  <c r="AG38" i="2" s="1"/>
  <c r="O533" i="2"/>
  <c r="AG159" i="2" s="1"/>
  <c r="O467" i="2"/>
  <c r="AG93" i="2" s="1"/>
  <c r="O434" i="2"/>
  <c r="AG60" i="2" s="1"/>
  <c r="O445" i="2"/>
  <c r="AG71" i="2" s="1"/>
  <c r="O401" i="2"/>
  <c r="AG27" i="2" s="1"/>
  <c r="O456" i="2"/>
  <c r="AG82" i="2" s="1"/>
  <c r="H24" i="17"/>
  <c r="C11" i="18" s="1"/>
  <c r="C94" i="6"/>
  <c r="C55" i="19" s="1"/>
  <c r="D94" i="6"/>
  <c r="D55" i="19" s="1"/>
  <c r="G94" i="6"/>
  <c r="G55" i="19" s="1"/>
  <c r="H94" i="6"/>
  <c r="H55" i="19" s="1"/>
  <c r="J94" i="6"/>
  <c r="J55" i="19" s="1"/>
  <c r="U148" i="2" l="1"/>
  <c r="AA148" i="2"/>
  <c r="U82" i="2"/>
  <c r="AA82" i="2"/>
  <c r="U49" i="2"/>
  <c r="AA49" i="2"/>
  <c r="U27" i="2"/>
  <c r="AA27" i="2"/>
  <c r="U104" i="2"/>
  <c r="AA104" i="2"/>
  <c r="U71" i="2"/>
  <c r="AA71" i="2"/>
  <c r="U126" i="2"/>
  <c r="AA126" i="2"/>
  <c r="U60" i="2"/>
  <c r="AA60" i="2"/>
  <c r="U115" i="2"/>
  <c r="AA115" i="2"/>
  <c r="U93" i="2"/>
  <c r="AA93" i="2"/>
  <c r="U170" i="2"/>
  <c r="AA170" i="2"/>
  <c r="U159" i="2"/>
  <c r="AA159" i="2"/>
  <c r="U181" i="2"/>
  <c r="AA181" i="2"/>
  <c r="U38" i="2"/>
  <c r="AA38" i="2"/>
  <c r="U137" i="2"/>
  <c r="AA137" i="2"/>
  <c r="F11" i="18"/>
  <c r="D34" i="19"/>
  <c r="M94" i="6"/>
  <c r="C255" i="9"/>
  <c r="C199" i="2"/>
  <c r="I199" i="2" s="1"/>
  <c r="C206" i="2"/>
  <c r="I206" i="2" s="1"/>
  <c r="C262" i="9"/>
  <c r="O403" i="2"/>
  <c r="AG29" i="2" s="1"/>
  <c r="C259" i="9"/>
  <c r="C203" i="2"/>
  <c r="I203" i="2" s="1"/>
  <c r="C256" i="9"/>
  <c r="C200" i="2"/>
  <c r="I200" i="2" s="1"/>
  <c r="U29" i="2" l="1"/>
  <c r="AA29" i="2"/>
  <c r="O398" i="2"/>
  <c r="AG24" i="2" s="1"/>
  <c r="O399" i="2"/>
  <c r="AG25" i="2" s="1"/>
  <c r="O402" i="2"/>
  <c r="AG28" i="2" s="1"/>
  <c r="O405" i="2"/>
  <c r="AG31" i="2" s="1"/>
  <c r="H25" i="17"/>
  <c r="C12" i="18" s="1"/>
  <c r="H26" i="17"/>
  <c r="C13" i="18" s="1"/>
  <c r="H27" i="17"/>
  <c r="C14" i="18" s="1"/>
  <c r="H28" i="17"/>
  <c r="C15" i="18" s="1"/>
  <c r="H29" i="17"/>
  <c r="C16" i="18" s="1"/>
  <c r="H30" i="17"/>
  <c r="C17" i="18" s="1"/>
  <c r="H31" i="17"/>
  <c r="C18" i="18" s="1"/>
  <c r="H32" i="17"/>
  <c r="C19" i="18" s="1"/>
  <c r="H33" i="17"/>
  <c r="C20" i="18" s="1"/>
  <c r="H34" i="17"/>
  <c r="C22" i="18" s="1"/>
  <c r="H35" i="17"/>
  <c r="C21" i="18" s="1"/>
  <c r="H36" i="17"/>
  <c r="C23" i="18" s="1"/>
  <c r="H37" i="17"/>
  <c r="C24" i="18" s="1"/>
  <c r="H38" i="17"/>
  <c r="C25" i="18" s="1"/>
  <c r="H39" i="17"/>
  <c r="C26" i="18" s="1"/>
  <c r="H40" i="17"/>
  <c r="C27" i="18" s="1"/>
  <c r="C41" i="17"/>
  <c r="D41" i="17"/>
  <c r="D42" i="17" s="1"/>
  <c r="E41" i="17"/>
  <c r="E42" i="17" s="1"/>
  <c r="F41" i="17"/>
  <c r="F42" i="17" s="1"/>
  <c r="G41" i="17"/>
  <c r="G42" i="17" s="1"/>
  <c r="C95" i="6"/>
  <c r="C56" i="19" s="1"/>
  <c r="D95" i="6"/>
  <c r="D56" i="19" s="1"/>
  <c r="G95" i="6"/>
  <c r="G56" i="19" s="1"/>
  <c r="H95" i="6"/>
  <c r="H56" i="19" s="1"/>
  <c r="J95" i="6"/>
  <c r="J56" i="19" s="1"/>
  <c r="C96" i="6"/>
  <c r="C57" i="19" s="1"/>
  <c r="D96" i="6"/>
  <c r="D57" i="19" s="1"/>
  <c r="G96" i="6"/>
  <c r="G57" i="19" s="1"/>
  <c r="H96" i="6"/>
  <c r="H57" i="19" s="1"/>
  <c r="J96" i="6"/>
  <c r="J57" i="19" s="1"/>
  <c r="C97" i="6"/>
  <c r="C58" i="19" s="1"/>
  <c r="D97" i="6"/>
  <c r="D58" i="19" s="1"/>
  <c r="G97" i="6"/>
  <c r="G58" i="19" s="1"/>
  <c r="H97" i="6"/>
  <c r="H58" i="19" s="1"/>
  <c r="J97" i="6"/>
  <c r="J58" i="19" s="1"/>
  <c r="C98" i="6"/>
  <c r="C59" i="19" s="1"/>
  <c r="D98" i="6"/>
  <c r="D59" i="19" s="1"/>
  <c r="G98" i="6"/>
  <c r="G59" i="19" s="1"/>
  <c r="H98" i="6"/>
  <c r="H59" i="19" s="1"/>
  <c r="J98" i="6"/>
  <c r="J59" i="19" s="1"/>
  <c r="C99" i="6"/>
  <c r="C60" i="19" s="1"/>
  <c r="D99" i="6"/>
  <c r="D60" i="19" s="1"/>
  <c r="G99" i="6"/>
  <c r="G60" i="19" s="1"/>
  <c r="H99" i="6"/>
  <c r="H60" i="19" s="1"/>
  <c r="J99" i="6"/>
  <c r="J60" i="19" s="1"/>
  <c r="C100" i="6"/>
  <c r="C61" i="19" s="1"/>
  <c r="D100" i="6"/>
  <c r="D61" i="19" s="1"/>
  <c r="G100" i="6"/>
  <c r="G61" i="19" s="1"/>
  <c r="H100" i="6"/>
  <c r="H61" i="19" s="1"/>
  <c r="J100" i="6"/>
  <c r="J61" i="19" s="1"/>
  <c r="C101" i="6"/>
  <c r="C62" i="19" s="1"/>
  <c r="D101" i="6"/>
  <c r="D62" i="19" s="1"/>
  <c r="G101" i="6"/>
  <c r="G62" i="19" s="1"/>
  <c r="H101" i="6"/>
  <c r="H62" i="19" s="1"/>
  <c r="J101" i="6"/>
  <c r="J62" i="19" s="1"/>
  <c r="C102" i="6"/>
  <c r="C63" i="19" s="1"/>
  <c r="D102" i="6"/>
  <c r="D63" i="19" s="1"/>
  <c r="G102" i="6"/>
  <c r="G63" i="19" s="1"/>
  <c r="H102" i="6"/>
  <c r="H63" i="19" s="1"/>
  <c r="J102" i="6"/>
  <c r="J63" i="19" s="1"/>
  <c r="C103" i="6"/>
  <c r="C64" i="19" s="1"/>
  <c r="D103" i="6"/>
  <c r="D64" i="19" s="1"/>
  <c r="G103" i="6"/>
  <c r="G64" i="19" s="1"/>
  <c r="H103" i="6"/>
  <c r="H64" i="19" s="1"/>
  <c r="J103" i="6"/>
  <c r="J64" i="19" s="1"/>
  <c r="C104" i="6"/>
  <c r="C66" i="19" s="1"/>
  <c r="D104" i="6"/>
  <c r="D66" i="19" s="1"/>
  <c r="G104" i="6"/>
  <c r="G66" i="19" s="1"/>
  <c r="H104" i="6"/>
  <c r="H66" i="19" s="1"/>
  <c r="J104" i="6"/>
  <c r="J66" i="19" s="1"/>
  <c r="C105" i="6"/>
  <c r="C65" i="19" s="1"/>
  <c r="D105" i="6"/>
  <c r="D65" i="19" s="1"/>
  <c r="G105" i="6"/>
  <c r="G65" i="19" s="1"/>
  <c r="H105" i="6"/>
  <c r="H65" i="19" s="1"/>
  <c r="J105" i="6"/>
  <c r="J65" i="19" s="1"/>
  <c r="C106" i="6"/>
  <c r="C67" i="19" s="1"/>
  <c r="D106" i="6"/>
  <c r="D67" i="19" s="1"/>
  <c r="G106" i="6"/>
  <c r="G67" i="19" s="1"/>
  <c r="H106" i="6"/>
  <c r="H67" i="19" s="1"/>
  <c r="J106" i="6"/>
  <c r="J67" i="19" s="1"/>
  <c r="C107" i="6"/>
  <c r="C68" i="19" s="1"/>
  <c r="D107" i="6"/>
  <c r="D68" i="19" s="1"/>
  <c r="G107" i="6"/>
  <c r="G68" i="19" s="1"/>
  <c r="H107" i="6"/>
  <c r="H68" i="19" s="1"/>
  <c r="J107" i="6"/>
  <c r="J68" i="19" s="1"/>
  <c r="C108" i="6"/>
  <c r="C69" i="19" s="1"/>
  <c r="D108" i="6"/>
  <c r="D69" i="19" s="1"/>
  <c r="G108" i="6"/>
  <c r="G69" i="19" s="1"/>
  <c r="H108" i="6"/>
  <c r="H69" i="19" s="1"/>
  <c r="J108" i="6"/>
  <c r="J69" i="19" s="1"/>
  <c r="C109" i="6"/>
  <c r="C70" i="19" s="1"/>
  <c r="D109" i="6"/>
  <c r="D70" i="19" s="1"/>
  <c r="G109" i="6"/>
  <c r="G70" i="19" s="1"/>
  <c r="H109" i="6"/>
  <c r="H70" i="19" s="1"/>
  <c r="J109" i="6"/>
  <c r="J70" i="19" s="1"/>
  <c r="C110" i="6"/>
  <c r="C71" i="19" s="1"/>
  <c r="D110" i="6"/>
  <c r="D71" i="19" s="1"/>
  <c r="G110" i="6"/>
  <c r="G71" i="19" s="1"/>
  <c r="H110" i="6"/>
  <c r="H71" i="19" s="1"/>
  <c r="J110" i="6"/>
  <c r="J71" i="19" s="1"/>
  <c r="U31" i="2" l="1"/>
  <c r="AA31" i="2"/>
  <c r="U28" i="2"/>
  <c r="AA28" i="2"/>
  <c r="U25" i="2"/>
  <c r="AA25" i="2"/>
  <c r="U24" i="2"/>
  <c r="AA24" i="2"/>
  <c r="F25" i="18"/>
  <c r="D48" i="19"/>
  <c r="F21" i="18"/>
  <c r="D45" i="19"/>
  <c r="F14" i="18"/>
  <c r="D37" i="19"/>
  <c r="J72" i="19"/>
  <c r="F22" i="18"/>
  <c r="D44" i="19"/>
  <c r="F13" i="18"/>
  <c r="D36" i="19"/>
  <c r="F24" i="18"/>
  <c r="D47" i="19"/>
  <c r="H72" i="19"/>
  <c r="F20" i="18"/>
  <c r="D43" i="19"/>
  <c r="F12" i="18"/>
  <c r="D35" i="19"/>
  <c r="G72" i="19"/>
  <c r="F27" i="18"/>
  <c r="D50" i="19"/>
  <c r="F19" i="18"/>
  <c r="D42" i="19"/>
  <c r="D72" i="19"/>
  <c r="F18" i="18"/>
  <c r="D41" i="19"/>
  <c r="F26" i="18"/>
  <c r="D49" i="19"/>
  <c r="C72" i="19"/>
  <c r="F17" i="18"/>
  <c r="D40" i="19"/>
  <c r="F16" i="18"/>
  <c r="D39" i="19"/>
  <c r="F23" i="18"/>
  <c r="D46" i="19"/>
  <c r="F15" i="18"/>
  <c r="D38" i="19"/>
  <c r="M97" i="6"/>
  <c r="M96" i="6"/>
  <c r="M110" i="6"/>
  <c r="M105" i="6"/>
  <c r="H41" i="17"/>
  <c r="M107" i="6"/>
  <c r="M109" i="6"/>
  <c r="C208" i="9"/>
  <c r="C118" i="2"/>
  <c r="I118" i="2" s="1"/>
  <c r="C178" i="2"/>
  <c r="I178" i="2" s="1"/>
  <c r="C148" i="2"/>
  <c r="I148" i="2" s="1"/>
  <c r="M101" i="6"/>
  <c r="O469" i="2"/>
  <c r="AG95" i="2" s="1"/>
  <c r="C132" i="9"/>
  <c r="C74" i="2"/>
  <c r="I74" i="2" s="1"/>
  <c r="C28" i="9"/>
  <c r="C35" i="2"/>
  <c r="I35" i="2" s="1"/>
  <c r="M103" i="6"/>
  <c r="C177" i="2"/>
  <c r="I177" i="2" s="1"/>
  <c r="M108" i="6"/>
  <c r="C140" i="2"/>
  <c r="I140" i="2" s="1"/>
  <c r="C100" i="2"/>
  <c r="I100" i="2" s="1"/>
  <c r="C169" i="9"/>
  <c r="C234" i="9"/>
  <c r="C123" i="2"/>
  <c r="I123" i="2" s="1"/>
  <c r="M95" i="6"/>
  <c r="C28" i="18"/>
  <c r="C5" i="5" s="1"/>
  <c r="E5" i="5" s="1"/>
  <c r="O414" i="2"/>
  <c r="AG40" i="2" s="1"/>
  <c r="C129" i="9"/>
  <c r="C71" i="2"/>
  <c r="I71" i="2" s="1"/>
  <c r="G111" i="6"/>
  <c r="C248" i="9"/>
  <c r="C192" i="2"/>
  <c r="I192" i="2" s="1"/>
  <c r="C156" i="2"/>
  <c r="I156" i="2" s="1"/>
  <c r="C137" i="2"/>
  <c r="I137" i="2" s="1"/>
  <c r="C111" i="2"/>
  <c r="I111" i="2" s="1"/>
  <c r="C201" i="9"/>
  <c r="M100" i="6"/>
  <c r="C66" i="9"/>
  <c r="C52" i="2"/>
  <c r="I52" i="2" s="1"/>
  <c r="O436" i="2"/>
  <c r="AG62" i="2" s="1"/>
  <c r="C92" i="9"/>
  <c r="C56" i="2"/>
  <c r="I56" i="2" s="1"/>
  <c r="O524" i="2"/>
  <c r="AG150" i="2" s="1"/>
  <c r="J111" i="6"/>
  <c r="C155" i="2"/>
  <c r="I155" i="2" s="1"/>
  <c r="C134" i="2"/>
  <c r="I134" i="2" s="1"/>
  <c r="C67" i="2"/>
  <c r="I67" i="2" s="1"/>
  <c r="C125" i="9"/>
  <c r="C111" i="6"/>
  <c r="C42" i="17"/>
  <c r="C166" i="2"/>
  <c r="I166" i="2" s="1"/>
  <c r="C251" i="9"/>
  <c r="C195" i="2"/>
  <c r="I195" i="2" s="1"/>
  <c r="C144" i="2"/>
  <c r="I144" i="2" s="1"/>
  <c r="M102" i="6"/>
  <c r="C41" i="2"/>
  <c r="I41" i="2" s="1"/>
  <c r="C34" i="9"/>
  <c r="M99" i="6"/>
  <c r="C184" i="2"/>
  <c r="I184" i="2" s="1"/>
  <c r="C170" i="2"/>
  <c r="I170" i="2" s="1"/>
  <c r="M104" i="6"/>
  <c r="C60" i="2"/>
  <c r="I60" i="2" s="1"/>
  <c r="C96" i="9"/>
  <c r="C63" i="9"/>
  <c r="C49" i="2"/>
  <c r="I49" i="2" s="1"/>
  <c r="C79" i="2"/>
  <c r="I79" i="2" s="1"/>
  <c r="C173" i="9"/>
  <c r="C104" i="2"/>
  <c r="I104" i="2" s="1"/>
  <c r="C202" i="9"/>
  <c r="C112" i="2"/>
  <c r="I112" i="2" s="1"/>
  <c r="C189" i="2"/>
  <c r="I189" i="2" s="1"/>
  <c r="C245" i="9"/>
  <c r="H111" i="6"/>
  <c r="D111" i="6"/>
  <c r="O557" i="2"/>
  <c r="AG183" i="2" s="1"/>
  <c r="C151" i="2"/>
  <c r="I151" i="2" s="1"/>
  <c r="C46" i="2"/>
  <c r="I46" i="2" s="1"/>
  <c r="M98" i="6"/>
  <c r="C78" i="2"/>
  <c r="I78" i="2" s="1"/>
  <c r="C60" i="9"/>
  <c r="C181" i="2"/>
  <c r="I181" i="2" s="1"/>
  <c r="C167" i="2"/>
  <c r="I167" i="2" s="1"/>
  <c r="C188" i="2"/>
  <c r="I188" i="2" s="1"/>
  <c r="C244" i="9"/>
  <c r="C99" i="9"/>
  <c r="C63" i="2"/>
  <c r="I63" i="2" s="1"/>
  <c r="O480" i="2"/>
  <c r="AG106" i="2" s="1"/>
  <c r="C205" i="9"/>
  <c r="C115" i="2"/>
  <c r="I115" i="2" s="1"/>
  <c r="C101" i="2"/>
  <c r="I101" i="2" s="1"/>
  <c r="C170" i="9"/>
  <c r="C45" i="2"/>
  <c r="I45" i="2" s="1"/>
  <c r="C59" i="9"/>
  <c r="C129" i="2"/>
  <c r="I129" i="2" s="1"/>
  <c r="C240" i="9"/>
  <c r="M106" i="6"/>
  <c r="C162" i="2"/>
  <c r="I162" i="2" s="1"/>
  <c r="O513" i="2"/>
  <c r="AG139" i="2" s="1"/>
  <c r="C38" i="2"/>
  <c r="I38" i="2" s="1"/>
  <c r="C31" i="9"/>
  <c r="C93" i="9"/>
  <c r="C57" i="2"/>
  <c r="I57" i="2" s="1"/>
  <c r="C133" i="2"/>
  <c r="I133" i="2" s="1"/>
  <c r="C85" i="2"/>
  <c r="I85" i="2" s="1"/>
  <c r="C126" i="2"/>
  <c r="I126" i="2" s="1"/>
  <c r="C237" i="9"/>
  <c r="C173" i="2"/>
  <c r="I173" i="2" s="1"/>
  <c r="O535" i="2"/>
  <c r="AG161" i="2" s="1"/>
  <c r="C159" i="2"/>
  <c r="I159" i="2" s="1"/>
  <c r="C145" i="2"/>
  <c r="I145" i="2" s="1"/>
  <c r="C27" i="9"/>
  <c r="C34" i="2"/>
  <c r="I34" i="2" s="1"/>
  <c r="C107" i="2"/>
  <c r="I107" i="2" s="1"/>
  <c r="C176" i="9"/>
  <c r="O447" i="2"/>
  <c r="AG73" i="2" s="1"/>
  <c r="C82" i="2"/>
  <c r="I82" i="2" s="1"/>
  <c r="C68" i="2"/>
  <c r="I68" i="2" s="1"/>
  <c r="C126" i="9"/>
  <c r="C233" i="9"/>
  <c r="C122" i="2"/>
  <c r="I122" i="2" s="1"/>
  <c r="U139" i="2" l="1"/>
  <c r="AA139" i="2"/>
  <c r="U62" i="2"/>
  <c r="AA62" i="2"/>
  <c r="U106" i="2"/>
  <c r="AA106" i="2"/>
  <c r="U161" i="2"/>
  <c r="AA161" i="2"/>
  <c r="U95" i="2"/>
  <c r="AA95" i="2"/>
  <c r="U73" i="2"/>
  <c r="AA73" i="2"/>
  <c r="U183" i="2"/>
  <c r="AA183" i="2"/>
  <c r="U150" i="2"/>
  <c r="AA150" i="2"/>
  <c r="U40" i="2"/>
  <c r="AA40" i="2"/>
  <c r="F28" i="18"/>
  <c r="D51" i="19"/>
  <c r="O501" i="2"/>
  <c r="AG127" i="2" s="1"/>
  <c r="O431" i="2"/>
  <c r="AG57" i="2" s="1"/>
  <c r="O476" i="2"/>
  <c r="AG102" i="2" s="1"/>
  <c r="O482" i="2"/>
  <c r="AG108" i="2" s="1"/>
  <c r="O425" i="2"/>
  <c r="AG51" i="2" s="1"/>
  <c r="O410" i="2"/>
  <c r="AG36" i="2" s="1"/>
  <c r="O498" i="2"/>
  <c r="AG124" i="2" s="1"/>
  <c r="O556" i="2"/>
  <c r="AG182" i="2" s="1"/>
  <c r="O438" i="2"/>
  <c r="AG64" i="2" s="1"/>
  <c r="O454" i="2"/>
  <c r="AG80" i="2" s="1"/>
  <c r="O493" i="2"/>
  <c r="AG119" i="2" s="1"/>
  <c r="O531" i="2"/>
  <c r="AG157" i="2" s="1"/>
  <c r="O519" i="2"/>
  <c r="AG145" i="2" s="1"/>
  <c r="O464" i="2"/>
  <c r="AG90" i="2" s="1"/>
  <c r="O534" i="2"/>
  <c r="AG160" i="2" s="1"/>
  <c r="O424" i="2"/>
  <c r="AG50" i="2" s="1"/>
  <c r="O548" i="2"/>
  <c r="AG174" i="2" s="1"/>
  <c r="O490" i="2"/>
  <c r="AG116" i="2" s="1"/>
  <c r="O515" i="2"/>
  <c r="AG141" i="2" s="1"/>
  <c r="O432" i="2"/>
  <c r="AG58" i="2" s="1"/>
  <c r="O509" i="2"/>
  <c r="AG135" i="2" s="1"/>
  <c r="O457" i="2"/>
  <c r="AG83" i="2" s="1"/>
  <c r="O502" i="2"/>
  <c r="AG128" i="2" s="1"/>
  <c r="O508" i="2"/>
  <c r="AG134" i="2" s="1"/>
  <c r="O530" i="2"/>
  <c r="AG156" i="2" s="1"/>
  <c r="O443" i="2"/>
  <c r="AG69" i="2" s="1"/>
  <c r="R73" i="5"/>
  <c r="O537" i="2"/>
  <c r="AG163" i="2" s="1"/>
  <c r="P73" i="5"/>
  <c r="O479" i="2"/>
  <c r="AG105" i="2" s="1"/>
  <c r="O552" i="2"/>
  <c r="AG178" i="2" s="1"/>
  <c r="O471" i="2"/>
  <c r="AG97" i="2" s="1"/>
  <c r="O435" i="2"/>
  <c r="AG61" i="2" s="1"/>
  <c r="O546" i="2"/>
  <c r="AG172" i="2" s="1"/>
  <c r="O409" i="2"/>
  <c r="AG35" i="2" s="1"/>
  <c r="O475" i="2"/>
  <c r="AG101" i="2" s="1"/>
  <c r="O416" i="2"/>
  <c r="AG42" i="2" s="1"/>
  <c r="O446" i="2"/>
  <c r="AG72" i="2" s="1"/>
  <c r="O523" i="2"/>
  <c r="AG149" i="2" s="1"/>
  <c r="O487" i="2"/>
  <c r="AG113" i="2" s="1"/>
  <c r="O468" i="2"/>
  <c r="AG94" i="2" s="1"/>
  <c r="O73" i="5"/>
  <c r="O545" i="2"/>
  <c r="AG171" i="2" s="1"/>
  <c r="O504" i="2"/>
  <c r="AG130" i="2" s="1"/>
  <c r="O486" i="2"/>
  <c r="AG112" i="2" s="1"/>
  <c r="O449" i="2"/>
  <c r="AG75" i="2" s="1"/>
  <c r="O453" i="2"/>
  <c r="AG79" i="2" s="1"/>
  <c r="O427" i="2"/>
  <c r="AG53" i="2" s="1"/>
  <c r="O512" i="2"/>
  <c r="AG138" i="2" s="1"/>
  <c r="O491" i="2"/>
  <c r="AG117" i="2" s="1"/>
  <c r="O541" i="2"/>
  <c r="AG167" i="2" s="1"/>
  <c r="O460" i="2"/>
  <c r="AG86" i="2" s="1"/>
  <c r="O413" i="2"/>
  <c r="AG39" i="2" s="1"/>
  <c r="O526" i="2"/>
  <c r="AG152" i="2" s="1"/>
  <c r="O542" i="2"/>
  <c r="AG168" i="2" s="1"/>
  <c r="O458" i="2"/>
  <c r="AG84" i="2" s="1"/>
  <c r="O520" i="2"/>
  <c r="AG146" i="2" s="1"/>
  <c r="Q73" i="5"/>
  <c r="M111" i="6"/>
  <c r="O421" i="2"/>
  <c r="AG47" i="2" s="1"/>
  <c r="O497" i="2"/>
  <c r="AG123" i="2" s="1"/>
  <c r="O442" i="2"/>
  <c r="AG68" i="2" s="1"/>
  <c r="O465" i="2"/>
  <c r="AG91" i="2" s="1"/>
  <c r="O559" i="2"/>
  <c r="AG185" i="2" s="1"/>
  <c r="O420" i="2"/>
  <c r="AG46" i="2" s="1"/>
  <c r="O553" i="2"/>
  <c r="AG179" i="2" s="1"/>
  <c r="U58" i="2" l="1"/>
  <c r="AA58" i="2"/>
  <c r="U141" i="2"/>
  <c r="AA141" i="2"/>
  <c r="U117" i="2"/>
  <c r="AA117" i="2"/>
  <c r="U172" i="2"/>
  <c r="AA172" i="2"/>
  <c r="U69" i="2"/>
  <c r="AA69" i="2"/>
  <c r="U116" i="2"/>
  <c r="AA116" i="2"/>
  <c r="U80" i="2"/>
  <c r="AA80" i="2"/>
  <c r="U57" i="2"/>
  <c r="AA57" i="2"/>
  <c r="U163" i="2"/>
  <c r="AA163" i="2"/>
  <c r="U35" i="2"/>
  <c r="AA35" i="2"/>
  <c r="U179" i="2"/>
  <c r="AA179" i="2"/>
  <c r="U138" i="2"/>
  <c r="AA138" i="2"/>
  <c r="U156" i="2"/>
  <c r="AA156" i="2"/>
  <c r="U174" i="2"/>
  <c r="AA174" i="2"/>
  <c r="U64" i="2"/>
  <c r="AA64" i="2"/>
  <c r="U127" i="2"/>
  <c r="AA127" i="2"/>
  <c r="U86" i="2"/>
  <c r="AA86" i="2"/>
  <c r="U101" i="2"/>
  <c r="AA101" i="2"/>
  <c r="U108" i="2"/>
  <c r="AA108" i="2"/>
  <c r="U167" i="2"/>
  <c r="AA167" i="2"/>
  <c r="U46" i="2"/>
  <c r="AA46" i="2"/>
  <c r="U146" i="2"/>
  <c r="AA146" i="2"/>
  <c r="U94" i="2"/>
  <c r="AA94" i="2"/>
  <c r="U61" i="2"/>
  <c r="AA61" i="2"/>
  <c r="U185" i="2"/>
  <c r="AA185" i="2"/>
  <c r="U84" i="2"/>
  <c r="AA84" i="2"/>
  <c r="U53" i="2"/>
  <c r="AA53" i="2"/>
  <c r="U113" i="2"/>
  <c r="AA113" i="2"/>
  <c r="U97" i="2"/>
  <c r="AA97" i="2"/>
  <c r="U134" i="2"/>
  <c r="AA134" i="2"/>
  <c r="U50" i="2"/>
  <c r="AA50" i="2"/>
  <c r="U182" i="2"/>
  <c r="AA182" i="2"/>
  <c r="U119" i="2"/>
  <c r="AA119" i="2"/>
  <c r="U168" i="2"/>
  <c r="AA168" i="2"/>
  <c r="U149" i="2"/>
  <c r="AA149" i="2"/>
  <c r="U178" i="2"/>
  <c r="AA178" i="2"/>
  <c r="U128" i="2"/>
  <c r="AA128" i="2"/>
  <c r="U160" i="2"/>
  <c r="AA160" i="2"/>
  <c r="U124" i="2"/>
  <c r="AA124" i="2"/>
  <c r="U47" i="2"/>
  <c r="AA47" i="2"/>
  <c r="U157" i="2"/>
  <c r="AA157" i="2"/>
  <c r="U68" i="2"/>
  <c r="AA68" i="2"/>
  <c r="U72" i="2"/>
  <c r="AA72" i="2"/>
  <c r="U90" i="2"/>
  <c r="AA90" i="2"/>
  <c r="U36" i="2"/>
  <c r="AA36" i="2"/>
  <c r="U130" i="2"/>
  <c r="AA130" i="2"/>
  <c r="U171" i="2"/>
  <c r="AA171" i="2"/>
  <c r="U102" i="2"/>
  <c r="AA102" i="2"/>
  <c r="U91" i="2"/>
  <c r="AA91" i="2"/>
  <c r="U79" i="2"/>
  <c r="AA79" i="2"/>
  <c r="U152" i="2"/>
  <c r="AA152" i="2"/>
  <c r="U75" i="2"/>
  <c r="AA75" i="2"/>
  <c r="U105" i="2"/>
  <c r="AA105" i="2"/>
  <c r="U83" i="2"/>
  <c r="AA83" i="2"/>
  <c r="U123" i="2"/>
  <c r="AA123" i="2"/>
  <c r="U39" i="2"/>
  <c r="AA39" i="2"/>
  <c r="U112" i="2"/>
  <c r="AA112" i="2"/>
  <c r="U42" i="2"/>
  <c r="AA42" i="2"/>
  <c r="U135" i="2"/>
  <c r="AA135" i="2"/>
  <c r="U145" i="2"/>
  <c r="AA145" i="2"/>
  <c r="U51" i="2"/>
  <c r="AA51" i="2"/>
  <c r="N98" i="6"/>
  <c r="N55" i="6"/>
  <c r="N51" i="6"/>
  <c r="N59" i="6"/>
  <c r="N62" i="6"/>
  <c r="N49" i="6"/>
  <c r="N52" i="6"/>
  <c r="N50" i="6"/>
  <c r="N53" i="6"/>
  <c r="N54" i="6"/>
  <c r="N60" i="6"/>
  <c r="N58" i="6"/>
  <c r="N48" i="6"/>
  <c r="N65" i="6"/>
  <c r="N61" i="6"/>
  <c r="N57" i="6"/>
  <c r="N64" i="6"/>
  <c r="N56" i="6"/>
  <c r="N63" i="6"/>
  <c r="P23" i="5"/>
  <c r="N95" i="6"/>
  <c r="N103" i="6"/>
  <c r="N102" i="6"/>
  <c r="N101" i="6"/>
  <c r="N108" i="6"/>
  <c r="N23" i="5"/>
  <c r="N74" i="6"/>
  <c r="N82" i="6"/>
  <c r="S23" i="5"/>
  <c r="M69" i="5"/>
  <c r="M68" i="5" s="1"/>
  <c r="N76" i="6"/>
  <c r="N84" i="6"/>
  <c r="N78" i="6"/>
  <c r="N86" i="6"/>
  <c r="N71" i="6"/>
  <c r="N79" i="6"/>
  <c r="N87" i="6"/>
  <c r="N83" i="6"/>
  <c r="N88" i="6"/>
  <c r="N85" i="6"/>
  <c r="N72" i="6"/>
  <c r="N75" i="6"/>
  <c r="N73" i="6"/>
  <c r="N94" i="6"/>
  <c r="N111" i="6"/>
  <c r="N81" i="6"/>
  <c r="T23" i="5"/>
  <c r="N77" i="6"/>
  <c r="N80" i="6"/>
  <c r="N105" i="6"/>
  <c r="N109" i="6"/>
  <c r="N97" i="6"/>
  <c r="N107" i="6"/>
  <c r="N96" i="6"/>
  <c r="N110" i="6"/>
  <c r="N104" i="6"/>
  <c r="N100" i="6"/>
  <c r="N106" i="6"/>
  <c r="Q23" i="5"/>
  <c r="U73" i="5"/>
  <c r="R23" i="5"/>
  <c r="N99" i="6"/>
  <c r="O23" i="5"/>
  <c r="S27" i="5" l="1"/>
  <c r="S35" i="5"/>
  <c r="S43" i="5"/>
  <c r="S51" i="5"/>
  <c r="S59" i="5"/>
  <c r="S67" i="5"/>
  <c r="S32" i="5"/>
  <c r="S40" i="5"/>
  <c r="S48" i="5"/>
  <c r="S56" i="5"/>
  <c r="S64" i="5"/>
  <c r="S29" i="5"/>
  <c r="S37" i="5"/>
  <c r="S45" i="5"/>
  <c r="S53" i="5"/>
  <c r="S61" i="5"/>
  <c r="S31" i="5"/>
  <c r="S39" i="5"/>
  <c r="S47" i="5"/>
  <c r="S55" i="5"/>
  <c r="S63" i="5"/>
  <c r="S28" i="5"/>
  <c r="S36" i="5"/>
  <c r="S44" i="5"/>
  <c r="S52" i="5"/>
  <c r="S60" i="5"/>
  <c r="S26" i="5"/>
  <c r="S30" i="5"/>
  <c r="S68" i="5"/>
  <c r="S65" i="5"/>
  <c r="S58" i="5"/>
  <c r="S57" i="5"/>
  <c r="S69" i="5"/>
  <c r="S41" i="5"/>
  <c r="S49" i="5"/>
  <c r="S66" i="5"/>
  <c r="S62" i="5"/>
  <c r="S33" i="5"/>
  <c r="S50" i="5"/>
  <c r="S54" i="5"/>
  <c r="S38" i="5"/>
  <c r="S25" i="5"/>
  <c r="S42" i="5"/>
  <c r="S46" i="5"/>
  <c r="S34" i="5"/>
  <c r="Q25" i="5"/>
  <c r="Q26" i="5"/>
  <c r="Q27" i="5"/>
  <c r="Q28" i="5"/>
  <c r="Q29" i="5"/>
  <c r="Q30" i="5"/>
  <c r="Q31" i="5"/>
  <c r="Q32" i="5"/>
  <c r="Q33" i="5"/>
  <c r="Q34" i="5"/>
  <c r="Q35" i="5"/>
  <c r="Q36" i="5"/>
  <c r="Q37" i="5"/>
  <c r="Q38" i="5"/>
  <c r="Q39" i="5"/>
  <c r="Q40" i="5"/>
  <c r="Q41" i="5"/>
  <c r="Q42" i="5"/>
  <c r="Q43" i="5"/>
  <c r="Q44" i="5"/>
  <c r="Q45" i="5"/>
  <c r="Q46" i="5"/>
  <c r="Q47" i="5"/>
  <c r="Q48" i="5"/>
  <c r="Q49" i="5"/>
  <c r="Q50" i="5"/>
  <c r="Q51" i="5"/>
  <c r="Q52" i="5"/>
  <c r="Q53" i="5"/>
  <c r="Q54" i="5"/>
  <c r="Q55" i="5"/>
  <c r="Q56" i="5"/>
  <c r="Q57" i="5"/>
  <c r="Q58" i="5"/>
  <c r="Q59" i="5"/>
  <c r="Q60" i="5"/>
  <c r="Q61" i="5"/>
  <c r="Q62" i="5"/>
  <c r="Q63" i="5"/>
  <c r="Q64" i="5"/>
  <c r="Q65" i="5"/>
  <c r="Q66" i="5"/>
  <c r="Q67" i="5"/>
  <c r="Q69" i="5"/>
  <c r="Q68" i="5"/>
  <c r="N69" i="5"/>
  <c r="N29" i="5"/>
  <c r="N37" i="5"/>
  <c r="N45" i="5"/>
  <c r="N53" i="5"/>
  <c r="N61" i="5"/>
  <c r="N26" i="5"/>
  <c r="N34" i="5"/>
  <c r="N42" i="5"/>
  <c r="N50" i="5"/>
  <c r="N58" i="5"/>
  <c r="N66" i="5"/>
  <c r="N31" i="5"/>
  <c r="N39" i="5"/>
  <c r="N47" i="5"/>
  <c r="N55" i="5"/>
  <c r="N63" i="5"/>
  <c r="N25" i="5"/>
  <c r="N33" i="5"/>
  <c r="N41" i="5"/>
  <c r="N49" i="5"/>
  <c r="N57" i="5"/>
  <c r="N65" i="5"/>
  <c r="N68" i="5"/>
  <c r="N30" i="5"/>
  <c r="N38" i="5"/>
  <c r="N46" i="5"/>
  <c r="N54" i="5"/>
  <c r="N62" i="5"/>
  <c r="N35" i="5"/>
  <c r="N52" i="5"/>
  <c r="N56" i="5"/>
  <c r="N27" i="5"/>
  <c r="N44" i="5"/>
  <c r="N48" i="5"/>
  <c r="N36" i="5"/>
  <c r="N40" i="5"/>
  <c r="N67" i="5"/>
  <c r="N28" i="5"/>
  <c r="N32" i="5"/>
  <c r="N59" i="5"/>
  <c r="N43" i="5"/>
  <c r="N60" i="5"/>
  <c r="N51" i="5"/>
  <c r="N64" i="5"/>
  <c r="O25" i="5"/>
  <c r="O26" i="5"/>
  <c r="O27" i="5"/>
  <c r="O28" i="5"/>
  <c r="O29" i="5"/>
  <c r="O30" i="5"/>
  <c r="O31" i="5"/>
  <c r="O32" i="5"/>
  <c r="O33" i="5"/>
  <c r="O34" i="5"/>
  <c r="O35" i="5"/>
  <c r="O36" i="5"/>
  <c r="O37" i="5"/>
  <c r="O38" i="5"/>
  <c r="O39" i="5"/>
  <c r="O40" i="5"/>
  <c r="O41" i="5"/>
  <c r="O42" i="5"/>
  <c r="O43" i="5"/>
  <c r="O44" i="5"/>
  <c r="O45" i="5"/>
  <c r="O46" i="5"/>
  <c r="O47" i="5"/>
  <c r="O48" i="5"/>
  <c r="O49" i="5"/>
  <c r="O50" i="5"/>
  <c r="O51" i="5"/>
  <c r="O52" i="5"/>
  <c r="O53" i="5"/>
  <c r="O54" i="5"/>
  <c r="O55" i="5"/>
  <c r="O56" i="5"/>
  <c r="O57" i="5"/>
  <c r="O58" i="5"/>
  <c r="O59" i="5"/>
  <c r="O60" i="5"/>
  <c r="O61" i="5"/>
  <c r="O62" i="5"/>
  <c r="O63" i="5"/>
  <c r="O64" i="5"/>
  <c r="O65" i="5"/>
  <c r="O66" i="5"/>
  <c r="O67" i="5"/>
  <c r="O68" i="5"/>
  <c r="O69" i="5"/>
  <c r="P25" i="5"/>
  <c r="P26" i="5"/>
  <c r="P27" i="5"/>
  <c r="P28" i="5"/>
  <c r="P29" i="5"/>
  <c r="P30" i="5"/>
  <c r="P31" i="5"/>
  <c r="P32" i="5"/>
  <c r="P33" i="5"/>
  <c r="P34" i="5"/>
  <c r="P35" i="5"/>
  <c r="P36" i="5"/>
  <c r="P37" i="5"/>
  <c r="P38" i="5"/>
  <c r="P39" i="5"/>
  <c r="P40" i="5"/>
  <c r="P41" i="5"/>
  <c r="P42" i="5"/>
  <c r="P43" i="5"/>
  <c r="P44" i="5"/>
  <c r="P45" i="5"/>
  <c r="P46" i="5"/>
  <c r="P47" i="5"/>
  <c r="P48" i="5"/>
  <c r="P49" i="5"/>
  <c r="P50" i="5"/>
  <c r="P51" i="5"/>
  <c r="P52" i="5"/>
  <c r="P53" i="5"/>
  <c r="P54" i="5"/>
  <c r="P55" i="5"/>
  <c r="P56" i="5"/>
  <c r="P57" i="5"/>
  <c r="P58" i="5"/>
  <c r="P59" i="5"/>
  <c r="P60" i="5"/>
  <c r="P61" i="5"/>
  <c r="P62" i="5"/>
  <c r="P63" i="5"/>
  <c r="P64" i="5"/>
  <c r="P65" i="5"/>
  <c r="P66" i="5"/>
  <c r="P67" i="5"/>
  <c r="P68" i="5"/>
  <c r="P69" i="5"/>
  <c r="T30" i="5"/>
  <c r="T38" i="5"/>
  <c r="T46" i="5"/>
  <c r="T54" i="5"/>
  <c r="T62" i="5"/>
  <c r="T68" i="5"/>
  <c r="T27" i="5"/>
  <c r="T35" i="5"/>
  <c r="T43" i="5"/>
  <c r="T51" i="5"/>
  <c r="T59" i="5"/>
  <c r="T67" i="5"/>
  <c r="T32" i="5"/>
  <c r="T40" i="5"/>
  <c r="T48" i="5"/>
  <c r="T56" i="5"/>
  <c r="T64" i="5"/>
  <c r="T26" i="5"/>
  <c r="T34" i="5"/>
  <c r="T42" i="5"/>
  <c r="T50" i="5"/>
  <c r="T58" i="5"/>
  <c r="T66" i="5"/>
  <c r="T31" i="5"/>
  <c r="T39" i="5"/>
  <c r="T47" i="5"/>
  <c r="T55" i="5"/>
  <c r="T63" i="5"/>
  <c r="T60" i="5"/>
  <c r="T52" i="5"/>
  <c r="T45" i="5"/>
  <c r="T44" i="5"/>
  <c r="T61" i="5"/>
  <c r="T65" i="5"/>
  <c r="T28" i="5"/>
  <c r="T36" i="5"/>
  <c r="T53" i="5"/>
  <c r="T57" i="5"/>
  <c r="T69" i="5"/>
  <c r="T49" i="5"/>
  <c r="T37" i="5"/>
  <c r="T41" i="5"/>
  <c r="T25" i="5"/>
  <c r="T29" i="5"/>
  <c r="T33" i="5"/>
  <c r="R32" i="5"/>
  <c r="R40" i="5"/>
  <c r="R48" i="5"/>
  <c r="R56" i="5"/>
  <c r="R64" i="5"/>
  <c r="R29" i="5"/>
  <c r="R37" i="5"/>
  <c r="R45" i="5"/>
  <c r="R53" i="5"/>
  <c r="R61" i="5"/>
  <c r="R26" i="5"/>
  <c r="R34" i="5"/>
  <c r="R42" i="5"/>
  <c r="R50" i="5"/>
  <c r="R58" i="5"/>
  <c r="R66" i="5"/>
  <c r="R28" i="5"/>
  <c r="R36" i="5"/>
  <c r="R44" i="5"/>
  <c r="R52" i="5"/>
  <c r="R60" i="5"/>
  <c r="R25" i="5"/>
  <c r="R33" i="5"/>
  <c r="R41" i="5"/>
  <c r="R49" i="5"/>
  <c r="R57" i="5"/>
  <c r="R65" i="5"/>
  <c r="R69" i="5"/>
  <c r="R39" i="5"/>
  <c r="R43" i="5"/>
  <c r="R51" i="5"/>
  <c r="R31" i="5"/>
  <c r="R35" i="5"/>
  <c r="R27" i="5"/>
  <c r="R54" i="5"/>
  <c r="R62" i="5"/>
  <c r="R30" i="5"/>
  <c r="R46" i="5"/>
  <c r="R63" i="5"/>
  <c r="R67" i="5"/>
  <c r="R68" i="5"/>
  <c r="R38" i="5"/>
  <c r="R55" i="5"/>
  <c r="R59" i="5"/>
  <c r="R47" i="5"/>
  <c r="N74" i="5" l="1"/>
  <c r="Q74" i="5"/>
  <c r="R74" i="5"/>
  <c r="T74" i="5"/>
  <c r="P74" i="5"/>
  <c r="U25" i="5"/>
  <c r="U26" i="5" s="1"/>
  <c r="U27" i="5" s="1"/>
  <c r="U28" i="5" s="1"/>
  <c r="U29" i="5" s="1"/>
  <c r="U30" i="5" s="1"/>
  <c r="U31" i="5" s="1"/>
  <c r="U32" i="5" s="1"/>
  <c r="U33" i="5" s="1"/>
  <c r="U34" i="5" s="1"/>
  <c r="U35" i="5" s="1"/>
  <c r="U36" i="5" s="1"/>
  <c r="U37" i="5" s="1"/>
  <c r="U38" i="5" s="1"/>
  <c r="U39" i="5" s="1"/>
  <c r="U40" i="5" s="1"/>
  <c r="U41" i="5" s="1"/>
  <c r="U42" i="5" s="1"/>
  <c r="U43" i="5" s="1"/>
  <c r="U44" i="5" s="1"/>
  <c r="U45" i="5" s="1"/>
  <c r="U46" i="5" s="1"/>
  <c r="U47" i="5" s="1"/>
  <c r="U48" i="5" s="1"/>
  <c r="U49" i="5" s="1"/>
  <c r="U50" i="5" s="1"/>
  <c r="U51" i="5" s="1"/>
  <c r="U52" i="5" s="1"/>
  <c r="U53" i="5" s="1"/>
  <c r="U54" i="5" s="1"/>
  <c r="U55" i="5" s="1"/>
  <c r="U56" i="5" s="1"/>
  <c r="U57" i="5" s="1"/>
  <c r="U58" i="5" s="1"/>
  <c r="U59" i="5" s="1"/>
  <c r="U60" i="5" s="1"/>
  <c r="U61" i="5" s="1"/>
  <c r="U62" i="5" s="1"/>
  <c r="U63" i="5" s="1"/>
  <c r="U64" i="5" s="1"/>
  <c r="U65" i="5" s="1"/>
  <c r="U66" i="5" s="1"/>
  <c r="U67" i="5" s="1"/>
  <c r="U68" i="5" s="1"/>
  <c r="U69" i="5" s="1"/>
  <c r="S74" i="5"/>
  <c r="O74" i="5"/>
  <c r="O75" i="5" l="1"/>
  <c r="O76" i="5"/>
  <c r="S75" i="5"/>
  <c r="S76" i="5"/>
  <c r="T76" i="5"/>
  <c r="T75" i="5"/>
  <c r="N76" i="5"/>
  <c r="U74" i="5"/>
  <c r="U76" i="5" s="1"/>
  <c r="N75" i="5"/>
  <c r="R75" i="5"/>
  <c r="R76" i="5"/>
  <c r="P76" i="5"/>
  <c r="P75" i="5"/>
  <c r="Q76" i="5"/>
  <c r="Q75" i="5"/>
  <c r="M82" i="5" l="1"/>
  <c r="M85" i="5"/>
  <c r="M92" i="5"/>
  <c r="M90" i="5"/>
  <c r="M88" i="5"/>
  <c r="M96" i="5"/>
  <c r="M91" i="5"/>
  <c r="M87" i="5"/>
  <c r="M95" i="5"/>
  <c r="M83" i="5"/>
  <c r="M93" i="5"/>
  <c r="M97" i="5"/>
  <c r="M81" i="5"/>
  <c r="M86" i="5"/>
  <c r="M89" i="5"/>
  <c r="M84" i="5"/>
  <c r="M94" i="5"/>
  <c r="P81" i="5"/>
  <c r="P84" i="5"/>
  <c r="P82" i="5"/>
  <c r="P91" i="5"/>
  <c r="P83" i="5"/>
  <c r="P85" i="5"/>
  <c r="P86" i="5"/>
  <c r="P89" i="5"/>
  <c r="P97" i="5"/>
  <c r="P87" i="5"/>
  <c r="P95" i="5"/>
  <c r="P90" i="5"/>
  <c r="P94" i="5"/>
  <c r="P93" i="5"/>
  <c r="P96" i="5"/>
  <c r="P88" i="5"/>
  <c r="P92" i="5"/>
  <c r="Q86" i="5"/>
  <c r="Q81" i="5"/>
  <c r="Q88" i="5"/>
  <c r="Q96" i="5"/>
  <c r="Q82" i="5"/>
  <c r="Q84" i="5"/>
  <c r="Q83" i="5"/>
  <c r="Q85" i="5"/>
  <c r="Q94" i="5"/>
  <c r="Q92" i="5"/>
  <c r="Q87" i="5"/>
  <c r="Q95" i="5"/>
  <c r="Q91" i="5"/>
  <c r="Q97" i="5"/>
  <c r="Q90" i="5"/>
  <c r="Q93" i="5"/>
  <c r="Q89" i="5"/>
  <c r="R81" i="5"/>
  <c r="R87" i="5"/>
  <c r="R90" i="5"/>
  <c r="R95" i="5"/>
  <c r="R83" i="5"/>
  <c r="R92" i="5"/>
  <c r="R86" i="5"/>
  <c r="R89" i="5"/>
  <c r="R94" i="5"/>
  <c r="R84" i="5"/>
  <c r="R96" i="5"/>
  <c r="R97" i="5"/>
  <c r="R85" i="5"/>
  <c r="R88" i="5"/>
  <c r="R91" i="5"/>
  <c r="R82" i="5"/>
  <c r="R93" i="5"/>
  <c r="T85" i="5"/>
  <c r="V82" i="5"/>
  <c r="T87" i="5"/>
  <c r="V89" i="5"/>
  <c r="T95" i="5"/>
  <c r="V97" i="5"/>
  <c r="V87" i="5"/>
  <c r="T93" i="5"/>
  <c r="V95" i="5"/>
  <c r="U81" i="5"/>
  <c r="T82" i="5"/>
  <c r="T84" i="5"/>
  <c r="T91" i="5"/>
  <c r="V93" i="5"/>
  <c r="V81" i="5"/>
  <c r="V83" i="5"/>
  <c r="V85" i="5"/>
  <c r="T86" i="5"/>
  <c r="V88" i="5"/>
  <c r="T94" i="5"/>
  <c r="V96" i="5"/>
  <c r="N85" i="5"/>
  <c r="V92" i="5"/>
  <c r="V84" i="5"/>
  <c r="T92" i="5"/>
  <c r="T88" i="5"/>
  <c r="N90" i="5"/>
  <c r="N81" i="5"/>
  <c r="T90" i="5"/>
  <c r="V91" i="5"/>
  <c r="U94" i="5"/>
  <c r="T97" i="5"/>
  <c r="N92" i="5"/>
  <c r="T83" i="5"/>
  <c r="V94" i="5"/>
  <c r="U97" i="5"/>
  <c r="T81" i="5"/>
  <c r="V90" i="5"/>
  <c r="T96" i="5"/>
  <c r="V86" i="5"/>
  <c r="U86" i="5"/>
  <c r="T89" i="5"/>
  <c r="U89" i="5"/>
  <c r="U91" i="5"/>
  <c r="U92" i="5"/>
  <c r="U88" i="5"/>
  <c r="N87" i="5"/>
  <c r="U84" i="5"/>
  <c r="N84" i="5"/>
  <c r="N93" i="5"/>
  <c r="U87" i="5"/>
  <c r="N88" i="5"/>
  <c r="U95" i="5"/>
  <c r="N91" i="5"/>
  <c r="U83" i="5"/>
  <c r="N96" i="5"/>
  <c r="U96" i="5"/>
  <c r="N89" i="5"/>
  <c r="U90" i="5"/>
  <c r="N86" i="5"/>
  <c r="U85" i="5"/>
  <c r="N83" i="5"/>
  <c r="N97" i="5"/>
  <c r="U82" i="5"/>
  <c r="U93" i="5"/>
  <c r="N94" i="5"/>
  <c r="N95" i="5"/>
  <c r="N82" i="5"/>
  <c r="O81" i="5"/>
  <c r="O97" i="5"/>
  <c r="O89" i="5"/>
  <c r="O82" i="5"/>
  <c r="O91" i="5"/>
  <c r="O86" i="5"/>
  <c r="O95" i="5"/>
  <c r="O87" i="5"/>
  <c r="O84" i="5"/>
  <c r="O90" i="5"/>
  <c r="O83" i="5"/>
  <c r="O92" i="5"/>
  <c r="O88" i="5"/>
  <c r="O96" i="5"/>
  <c r="O85" i="5"/>
  <c r="O93" i="5"/>
  <c r="O94" i="5"/>
  <c r="S81" i="5"/>
  <c r="S85" i="5"/>
  <c r="S91" i="5"/>
  <c r="S93" i="5"/>
  <c r="S95" i="5"/>
  <c r="S87" i="5"/>
  <c r="S94" i="5"/>
  <c r="S89" i="5"/>
  <c r="S83" i="5"/>
  <c r="S86" i="5"/>
  <c r="S82" i="5"/>
  <c r="S92" i="5"/>
  <c r="S88" i="5"/>
  <c r="S84" i="5"/>
  <c r="S90" i="5"/>
  <c r="S97" i="5"/>
  <c r="S96" i="5"/>
  <c r="U75" i="5"/>
  <c r="F377" i="11" l="1"/>
  <c r="AG296" i="2"/>
  <c r="AA296" i="2"/>
  <c r="F128" i="11"/>
  <c r="AG225" i="2"/>
  <c r="F308" i="11"/>
  <c r="AA277" i="2"/>
  <c r="AG277" i="2"/>
  <c r="F162" i="11"/>
  <c r="AA233" i="2"/>
  <c r="AG233" i="2"/>
  <c r="AG213" i="2"/>
  <c r="AG726" i="2"/>
  <c r="AA726" i="2"/>
  <c r="AG222" i="2"/>
  <c r="AG715" i="2"/>
  <c r="AA715" i="2"/>
  <c r="F196" i="11"/>
  <c r="AG241" i="2"/>
  <c r="AA241" i="2"/>
  <c r="F121" i="11"/>
  <c r="AG218" i="2"/>
  <c r="F229" i="11"/>
  <c r="AG248" i="2"/>
  <c r="AA248" i="2"/>
  <c r="F265" i="11"/>
  <c r="AA259" i="2"/>
  <c r="AG259" i="2"/>
  <c r="F5" i="11"/>
  <c r="AA189" i="2"/>
  <c r="AG189" i="2"/>
  <c r="F342" i="11"/>
  <c r="AA286" i="2"/>
  <c r="AG286" i="2"/>
  <c r="F236" i="11"/>
  <c r="AG255" i="2"/>
  <c r="AA255" i="2"/>
  <c r="F514" i="11"/>
  <c r="AG333" i="2"/>
  <c r="AA333" i="2"/>
  <c r="F373" i="11"/>
  <c r="AG292" i="2"/>
  <c r="AA292" i="2"/>
  <c r="F44" i="11"/>
  <c r="AA202" i="2"/>
  <c r="AG202" i="2"/>
  <c r="F442" i="11"/>
  <c r="AG311" i="2"/>
  <c r="AA311" i="2"/>
  <c r="F160" i="11"/>
  <c r="AG231" i="2"/>
  <c r="AA231" i="2"/>
  <c r="F299" i="11"/>
  <c r="AA268" i="2"/>
  <c r="AG268" i="2"/>
  <c r="F369" i="11"/>
  <c r="AG288" i="2"/>
  <c r="AA288" i="2"/>
  <c r="F441" i="11"/>
  <c r="AA1051" i="2"/>
  <c r="AG986" i="2"/>
  <c r="F511" i="11"/>
  <c r="AG988" i="2"/>
  <c r="AA1053" i="2"/>
  <c r="F335" i="11"/>
  <c r="AG279" i="2"/>
  <c r="AA279" i="2"/>
  <c r="AG989" i="2"/>
  <c r="AA1054" i="2"/>
  <c r="AG714" i="2"/>
  <c r="AA714" i="2"/>
  <c r="F195" i="11"/>
  <c r="AG979" i="2"/>
  <c r="AA1044" i="2"/>
  <c r="F475" i="11"/>
  <c r="AG319" i="2"/>
  <c r="AA319" i="2"/>
  <c r="F300" i="11"/>
  <c r="AG269" i="2"/>
  <c r="AA269" i="2"/>
  <c r="F440" i="11"/>
  <c r="AG309" i="2"/>
  <c r="AA309" i="2"/>
  <c r="F306" i="11"/>
  <c r="AG275" i="2"/>
  <c r="AA275" i="2"/>
  <c r="AG215" i="2"/>
  <c r="F271" i="11"/>
  <c r="AG265" i="2"/>
  <c r="AA265" i="2"/>
  <c r="F200" i="11"/>
  <c r="AG245" i="2"/>
  <c r="AA245" i="2"/>
  <c r="F12" i="11"/>
  <c r="AG196" i="2"/>
  <c r="AA196" i="2"/>
  <c r="F49" i="11"/>
  <c r="AA207" i="2"/>
  <c r="AG207" i="2"/>
  <c r="AG717" i="2"/>
  <c r="AA717" i="2"/>
  <c r="F339" i="11"/>
  <c r="AG283" i="2"/>
  <c r="AA283" i="2"/>
  <c r="F513" i="11"/>
  <c r="AG332" i="2"/>
  <c r="AA332" i="2"/>
  <c r="AG716" i="2"/>
  <c r="AA716" i="2"/>
  <c r="F477" i="11"/>
  <c r="AG321" i="2"/>
  <c r="AA321" i="2"/>
  <c r="AG211" i="2"/>
  <c r="F193" i="11"/>
  <c r="AG238" i="2"/>
  <c r="AA238" i="2"/>
  <c r="AG712" i="2"/>
  <c r="AA712" i="2"/>
  <c r="F480" i="11"/>
  <c r="AG324" i="2"/>
  <c r="AA324" i="2"/>
  <c r="F481" i="11"/>
  <c r="AG325" i="2"/>
  <c r="AA325" i="2"/>
  <c r="F483" i="11"/>
  <c r="AG327" i="2"/>
  <c r="AA327" i="2"/>
  <c r="F410" i="11"/>
  <c r="AA304" i="2"/>
  <c r="AG304" i="2"/>
  <c r="F371" i="11"/>
  <c r="AA1049" i="2"/>
  <c r="AG984" i="2"/>
  <c r="F447" i="11"/>
  <c r="AG316" i="2"/>
  <c r="AA316" i="2"/>
  <c r="AG720" i="2"/>
  <c r="AA720" i="2"/>
  <c r="F122" i="11"/>
  <c r="AG219" i="2"/>
  <c r="F201" i="11"/>
  <c r="AG246" i="2"/>
  <c r="AA246" i="2"/>
  <c r="F405" i="11"/>
  <c r="AG299" i="2"/>
  <c r="AA299" i="2"/>
  <c r="F411" i="11"/>
  <c r="AG305" i="2"/>
  <c r="AA305" i="2"/>
  <c r="F166" i="11"/>
  <c r="AG237" i="2"/>
  <c r="AA237" i="2"/>
  <c r="F518" i="11"/>
  <c r="AG337" i="2"/>
  <c r="AA337" i="2"/>
  <c r="F164" i="11"/>
  <c r="AG235" i="2"/>
  <c r="AA235" i="2"/>
  <c r="F126" i="11"/>
  <c r="AG223" i="2"/>
  <c r="F234" i="11"/>
  <c r="AG253" i="2"/>
  <c r="AA253" i="2"/>
  <c r="F233" i="11"/>
  <c r="AG252" i="2"/>
  <c r="AA252" i="2"/>
  <c r="F268" i="11"/>
  <c r="AG262" i="2"/>
  <c r="AA262" i="2"/>
  <c r="F337" i="11"/>
  <c r="AG281" i="2"/>
  <c r="AA281" i="2"/>
  <c r="F372" i="11"/>
  <c r="AG291" i="2"/>
  <c r="AA291" i="2"/>
  <c r="F4" i="11"/>
  <c r="AG188" i="2"/>
  <c r="AA188" i="2"/>
  <c r="F264" i="11"/>
  <c r="AG258" i="2"/>
  <c r="AA258" i="2"/>
  <c r="F340" i="11"/>
  <c r="AG284" i="2"/>
  <c r="AA284" i="2"/>
  <c r="AG730" i="2"/>
  <c r="AA730" i="2"/>
  <c r="F510" i="11"/>
  <c r="AG329" i="2"/>
  <c r="AA329" i="2"/>
  <c r="AG727" i="2"/>
  <c r="AA727" i="2"/>
  <c r="F266" i="11"/>
  <c r="AG981" i="2"/>
  <c r="AA1046" i="2"/>
  <c r="F46" i="11"/>
  <c r="AA204" i="2"/>
  <c r="AG204" i="2"/>
  <c r="F375" i="11"/>
  <c r="AG294" i="2"/>
  <c r="AA294" i="2"/>
  <c r="F406" i="11"/>
  <c r="AA1050" i="2"/>
  <c r="AG985" i="2"/>
  <c r="F42" i="11"/>
  <c r="AA1040" i="2"/>
  <c r="AG975" i="2"/>
  <c r="F48" i="11"/>
  <c r="AG206" i="2"/>
  <c r="AA206" i="2"/>
  <c r="AA713" i="2"/>
  <c r="AG713" i="2"/>
  <c r="F129" i="11"/>
  <c r="AG226" i="2"/>
  <c r="F202" i="11"/>
  <c r="AG247" i="2"/>
  <c r="AA247" i="2"/>
  <c r="AA729" i="2"/>
  <c r="AG729" i="2"/>
  <c r="F130" i="11"/>
  <c r="AG227" i="2"/>
  <c r="AG217" i="2"/>
  <c r="F446" i="11"/>
  <c r="AG315" i="2"/>
  <c r="AA315" i="2"/>
  <c r="F444" i="11"/>
  <c r="AA313" i="2"/>
  <c r="AG313" i="2"/>
  <c r="F479" i="11"/>
  <c r="AG323" i="2"/>
  <c r="AA323" i="2"/>
  <c r="F9" i="11"/>
  <c r="AA193" i="2"/>
  <c r="AG193" i="2"/>
  <c r="F408" i="11"/>
  <c r="AG302" i="2"/>
  <c r="AA302" i="2"/>
  <c r="F8" i="11"/>
  <c r="AG192" i="2"/>
  <c r="AA192" i="2"/>
  <c r="F512" i="11"/>
  <c r="AA331" i="2"/>
  <c r="AG331" i="2"/>
  <c r="F43" i="11"/>
  <c r="AG201" i="2"/>
  <c r="AA201" i="2"/>
  <c r="AG722" i="2"/>
  <c r="AA722" i="2"/>
  <c r="F334" i="11"/>
  <c r="AG278" i="2"/>
  <c r="AA278" i="2"/>
  <c r="F194" i="11"/>
  <c r="AG239" i="2"/>
  <c r="AA239" i="2"/>
  <c r="F127" i="11"/>
  <c r="AG224" i="2"/>
  <c r="F237" i="11"/>
  <c r="AG256" i="2"/>
  <c r="AA256" i="2"/>
  <c r="F47" i="11"/>
  <c r="AG205" i="2"/>
  <c r="AA205" i="2"/>
  <c r="F445" i="11"/>
  <c r="AG314" i="2"/>
  <c r="AA314" i="2"/>
  <c r="F199" i="11"/>
  <c r="AG244" i="2"/>
  <c r="AA244" i="2"/>
  <c r="F163" i="11"/>
  <c r="AG234" i="2"/>
  <c r="AA234" i="2"/>
  <c r="AA1041" i="2"/>
  <c r="AG976" i="2"/>
  <c r="F301" i="11"/>
  <c r="AG982" i="2"/>
  <c r="AA1047" i="2"/>
  <c r="AG723" i="2"/>
  <c r="AA723" i="2"/>
  <c r="AG216" i="2"/>
  <c r="F230" i="11"/>
  <c r="AG249" i="2"/>
  <c r="AA249" i="2"/>
  <c r="AG719" i="2"/>
  <c r="AA719" i="2"/>
  <c r="F482" i="11"/>
  <c r="AG326" i="2"/>
  <c r="AA326" i="2"/>
  <c r="F413" i="11"/>
  <c r="AG307" i="2"/>
  <c r="AA307" i="2"/>
  <c r="F13" i="11"/>
  <c r="AG197" i="2"/>
  <c r="AA197" i="2"/>
  <c r="F238" i="11"/>
  <c r="AG257" i="2"/>
  <c r="AA257" i="2"/>
  <c r="F45" i="11"/>
  <c r="AA203" i="2"/>
  <c r="AG203" i="2"/>
  <c r="F304" i="11"/>
  <c r="AG273" i="2"/>
  <c r="AA273" i="2"/>
  <c r="F303" i="11"/>
  <c r="AG272" i="2"/>
  <c r="AA272" i="2"/>
  <c r="F478" i="11"/>
  <c r="AA322" i="2"/>
  <c r="AG322" i="2"/>
  <c r="F197" i="11"/>
  <c r="AA242" i="2"/>
  <c r="AG242" i="2"/>
  <c r="F232" i="11"/>
  <c r="AA251" i="2"/>
  <c r="AG251" i="2"/>
  <c r="F124" i="11"/>
  <c r="AG221" i="2"/>
  <c r="F439" i="11"/>
  <c r="AG308" i="2"/>
  <c r="AA308" i="2"/>
  <c r="F404" i="11"/>
  <c r="AG298" i="2"/>
  <c r="AA298" i="2"/>
  <c r="F231" i="11"/>
  <c r="AG980" i="2"/>
  <c r="AA1045" i="2"/>
  <c r="F159" i="11"/>
  <c r="AA1043" i="2"/>
  <c r="AG978" i="2"/>
  <c r="F307" i="11"/>
  <c r="AG276" i="2"/>
  <c r="AA276" i="2"/>
  <c r="F515" i="11"/>
  <c r="AG334" i="2"/>
  <c r="AA334" i="2"/>
  <c r="AG718" i="2"/>
  <c r="AA718" i="2"/>
  <c r="AG214" i="2"/>
  <c r="F10" i="11"/>
  <c r="AA194" i="2"/>
  <c r="AG194" i="2"/>
  <c r="F336" i="11"/>
  <c r="AA1048" i="2"/>
  <c r="AG983" i="2"/>
  <c r="AG990" i="2"/>
  <c r="AG724" i="2"/>
  <c r="AA724" i="2"/>
  <c r="AA1055" i="2"/>
  <c r="AG209" i="2"/>
  <c r="F370" i="11"/>
  <c r="AG289" i="2"/>
  <c r="AA289" i="2"/>
  <c r="F272" i="11"/>
  <c r="AG266" i="2"/>
  <c r="AA266" i="2"/>
  <c r="F343" i="11"/>
  <c r="AG287" i="2"/>
  <c r="AA287" i="2"/>
  <c r="F378" i="11"/>
  <c r="AG297" i="2"/>
  <c r="AA297" i="2"/>
  <c r="F158" i="11"/>
  <c r="AG229" i="2"/>
  <c r="AA229" i="2"/>
  <c r="F448" i="11"/>
  <c r="AG317" i="2"/>
  <c r="AA317" i="2"/>
  <c r="AG731" i="2"/>
  <c r="AA731" i="2"/>
  <c r="F374" i="11"/>
  <c r="AG293" i="2"/>
  <c r="AA293" i="2"/>
  <c r="F198" i="11"/>
  <c r="AG243" i="2"/>
  <c r="AA243" i="2"/>
  <c r="F443" i="11"/>
  <c r="AG312" i="2"/>
  <c r="AA312" i="2"/>
  <c r="F161" i="11"/>
  <c r="AG232" i="2"/>
  <c r="AA232" i="2"/>
  <c r="F407" i="11"/>
  <c r="AG301" i="2"/>
  <c r="AA301" i="2"/>
  <c r="AG725" i="2"/>
  <c r="AA725" i="2"/>
  <c r="F7" i="11"/>
  <c r="AA191" i="2"/>
  <c r="AG191" i="2"/>
  <c r="AG208" i="2"/>
  <c r="F157" i="11"/>
  <c r="AG228" i="2"/>
  <c r="AA228" i="2"/>
  <c r="F41" i="11"/>
  <c r="AA199" i="2"/>
  <c r="AG199" i="2"/>
  <c r="F235" i="11"/>
  <c r="AG254" i="2"/>
  <c r="AA254" i="2"/>
  <c r="F273" i="11"/>
  <c r="AG267" i="2"/>
  <c r="AA267" i="2"/>
  <c r="F270" i="11"/>
  <c r="AG264" i="2"/>
  <c r="AA264" i="2"/>
  <c r="AG728" i="2"/>
  <c r="AA728" i="2"/>
  <c r="F305" i="11"/>
  <c r="AG274" i="2"/>
  <c r="AA274" i="2"/>
  <c r="F476" i="11"/>
  <c r="AG987" i="2"/>
  <c r="AA1052" i="2"/>
  <c r="F123" i="11"/>
  <c r="AA1042" i="2"/>
  <c r="AG977" i="2"/>
  <c r="F6" i="11"/>
  <c r="AA1039" i="2"/>
  <c r="AG974" i="2"/>
  <c r="F165" i="11"/>
  <c r="AG236" i="2"/>
  <c r="AA236" i="2"/>
  <c r="F517" i="11"/>
  <c r="AG336" i="2"/>
  <c r="AA336" i="2"/>
  <c r="F412" i="11"/>
  <c r="AG306" i="2"/>
  <c r="AA306" i="2"/>
  <c r="F11" i="11"/>
  <c r="AA195" i="2"/>
  <c r="AG195" i="2"/>
  <c r="F341" i="11"/>
  <c r="AG285" i="2"/>
  <c r="AA285" i="2"/>
  <c r="AA721" i="2"/>
  <c r="AG721" i="2"/>
  <c r="F376" i="11"/>
  <c r="AA295" i="2"/>
  <c r="AG295" i="2"/>
  <c r="F516" i="11"/>
  <c r="AG335" i="2"/>
  <c r="AA335" i="2"/>
  <c r="F269" i="11"/>
  <c r="AG263" i="2"/>
  <c r="AA263" i="2"/>
  <c r="F409" i="11"/>
  <c r="AG303" i="2"/>
  <c r="AA303" i="2"/>
  <c r="F338" i="11"/>
  <c r="AG282" i="2"/>
  <c r="AA282" i="2"/>
  <c r="AG212" i="2"/>
  <c r="F267" i="11"/>
  <c r="AG261" i="2"/>
  <c r="AA261" i="2"/>
  <c r="F302" i="11"/>
  <c r="AG271" i="2"/>
  <c r="AA271" i="2"/>
  <c r="F474" i="11"/>
  <c r="AG318" i="2"/>
  <c r="AA318" i="2"/>
  <c r="F509" i="11"/>
  <c r="AG328" i="2"/>
  <c r="AA328" i="2"/>
  <c r="F40" i="11"/>
  <c r="AA198" i="2"/>
  <c r="AG198" i="2"/>
  <c r="F80" i="11"/>
  <c r="F78" i="11"/>
  <c r="F82" i="11"/>
  <c r="F77" i="11"/>
  <c r="F88" i="11"/>
  <c r="F83" i="11"/>
  <c r="F81" i="11"/>
  <c r="F76" i="11"/>
  <c r="F75" i="11"/>
  <c r="F84" i="11"/>
  <c r="O591" i="2" s="1"/>
  <c r="N98" i="5"/>
  <c r="W84" i="5"/>
  <c r="J67" i="8" s="1"/>
  <c r="W87" i="5"/>
  <c r="J70" i="8" s="1"/>
  <c r="W89" i="5"/>
  <c r="J72" i="8" s="1"/>
  <c r="W91" i="5"/>
  <c r="J74" i="8" s="1"/>
  <c r="U98" i="5"/>
  <c r="W86" i="5"/>
  <c r="J69" i="8" s="1"/>
  <c r="W96" i="5"/>
  <c r="J79" i="8" s="1"/>
  <c r="M98" i="5"/>
  <c r="W81" i="5"/>
  <c r="V102" i="5" s="1"/>
  <c r="W88" i="5"/>
  <c r="J71" i="8" s="1"/>
  <c r="R98" i="5"/>
  <c r="Q98" i="5"/>
  <c r="W97" i="5"/>
  <c r="J80" i="8" s="1"/>
  <c r="W90" i="5"/>
  <c r="J73" i="8" s="1"/>
  <c r="V98" i="5"/>
  <c r="W93" i="5"/>
  <c r="J76" i="8" s="1"/>
  <c r="W92" i="5"/>
  <c r="J75" i="8" s="1"/>
  <c r="S98" i="5"/>
  <c r="P98" i="5"/>
  <c r="W83" i="5"/>
  <c r="J66" i="8" s="1"/>
  <c r="W85" i="5"/>
  <c r="J68" i="8" s="1"/>
  <c r="O98" i="5"/>
  <c r="T98" i="5"/>
  <c r="W94" i="5"/>
  <c r="J77" i="8" s="1"/>
  <c r="W95" i="5"/>
  <c r="J78" i="8" s="1"/>
  <c r="W82" i="5"/>
  <c r="J65" i="8" s="1"/>
  <c r="M106" i="5" l="1"/>
  <c r="P118" i="5"/>
  <c r="P105" i="5"/>
  <c r="R109" i="5"/>
  <c r="V105" i="5"/>
  <c r="V118" i="5"/>
  <c r="R102" i="5"/>
  <c r="U113" i="5"/>
  <c r="S105" i="5"/>
  <c r="Q106" i="5"/>
  <c r="O102" i="5"/>
  <c r="N112" i="5"/>
  <c r="N105" i="5"/>
  <c r="U116" i="5"/>
  <c r="S109" i="5"/>
  <c r="R112" i="5"/>
  <c r="O106" i="5"/>
  <c r="Q102" i="5"/>
  <c r="N113" i="5"/>
  <c r="P109" i="5"/>
  <c r="S116" i="5"/>
  <c r="V113" i="5"/>
  <c r="U104" i="5"/>
  <c r="T102" i="5"/>
  <c r="S108" i="5"/>
  <c r="T103" i="5"/>
  <c r="T116" i="5"/>
  <c r="T112" i="5"/>
  <c r="P110" i="5"/>
  <c r="M113" i="5"/>
  <c r="R113" i="5"/>
  <c r="M103" i="5"/>
  <c r="T111" i="5"/>
  <c r="U106" i="5"/>
  <c r="O105" i="5"/>
  <c r="S110" i="5"/>
  <c r="P102" i="5"/>
  <c r="P113" i="5"/>
  <c r="N106" i="5"/>
  <c r="V104" i="5"/>
  <c r="V111" i="5"/>
  <c r="P103" i="5"/>
  <c r="R114" i="5"/>
  <c r="V107" i="5"/>
  <c r="N117" i="5"/>
  <c r="V106" i="5"/>
  <c r="N114" i="5"/>
  <c r="O116" i="5"/>
  <c r="P106" i="5"/>
  <c r="Q103" i="5"/>
  <c r="R116" i="5"/>
  <c r="U111" i="5"/>
  <c r="N109" i="5"/>
  <c r="M105" i="5"/>
  <c r="R107" i="5"/>
  <c r="M111" i="5"/>
  <c r="M109" i="5"/>
  <c r="P112" i="5"/>
  <c r="Q109" i="5"/>
  <c r="T106" i="5"/>
  <c r="V103" i="5"/>
  <c r="T107" i="5"/>
  <c r="T104" i="5"/>
  <c r="M112" i="5"/>
  <c r="R106" i="5"/>
  <c r="T105" i="5"/>
  <c r="K79" i="8"/>
  <c r="D91" i="19" s="1"/>
  <c r="B237" i="12"/>
  <c r="K73" i="8"/>
  <c r="D85" i="19" s="1"/>
  <c r="B231" i="12"/>
  <c r="Q111" i="5"/>
  <c r="U118" i="5"/>
  <c r="R108" i="5"/>
  <c r="O112" i="5"/>
  <c r="V115" i="5"/>
  <c r="M107" i="5"/>
  <c r="R111" i="5"/>
  <c r="Q105" i="5"/>
  <c r="K77" i="8"/>
  <c r="D89" i="19" s="1"/>
  <c r="B235" i="12"/>
  <c r="K68" i="8"/>
  <c r="D80" i="19" s="1"/>
  <c r="B226" i="12"/>
  <c r="O111" i="5"/>
  <c r="S104" i="5"/>
  <c r="P108" i="5"/>
  <c r="Q115" i="5"/>
  <c r="R110" i="5"/>
  <c r="V108" i="5"/>
  <c r="T117" i="5"/>
  <c r="O104" i="5"/>
  <c r="S107" i="5"/>
  <c r="U103" i="5"/>
  <c r="O113" i="5"/>
  <c r="S103" i="5"/>
  <c r="R118" i="5"/>
  <c r="U117" i="5"/>
  <c r="S115" i="5"/>
  <c r="Q117" i="5"/>
  <c r="T110" i="5"/>
  <c r="N110" i="5"/>
  <c r="O107" i="5"/>
  <c r="P107" i="5"/>
  <c r="K80" i="8"/>
  <c r="D92" i="19" s="1"/>
  <c r="B238" i="12"/>
  <c r="M115" i="5"/>
  <c r="K66" i="8"/>
  <c r="F90" i="11" s="1"/>
  <c r="B224" i="12"/>
  <c r="K74" i="8"/>
  <c r="D86" i="19" s="1"/>
  <c r="B232" i="12"/>
  <c r="V109" i="5"/>
  <c r="N103" i="5"/>
  <c r="M104" i="5"/>
  <c r="V114" i="5"/>
  <c r="V112" i="5"/>
  <c r="U109" i="5"/>
  <c r="N104" i="5"/>
  <c r="U110" i="5"/>
  <c r="O108" i="5"/>
  <c r="M114" i="5"/>
  <c r="N118" i="5"/>
  <c r="P116" i="5"/>
  <c r="Q113" i="5"/>
  <c r="R115" i="5"/>
  <c r="U105" i="5"/>
  <c r="V116" i="5"/>
  <c r="T113" i="5"/>
  <c r="U107" i="5"/>
  <c r="N111" i="5"/>
  <c r="O114" i="5"/>
  <c r="M110" i="5"/>
  <c r="P114" i="5"/>
  <c r="Q112" i="5"/>
  <c r="T108" i="5"/>
  <c r="N102" i="5"/>
  <c r="M108" i="5"/>
  <c r="U112" i="5"/>
  <c r="S118" i="5"/>
  <c r="Q114" i="5"/>
  <c r="N107" i="5"/>
  <c r="M118" i="5"/>
  <c r="T114" i="5"/>
  <c r="T118" i="5"/>
  <c r="S111" i="5"/>
  <c r="P111" i="5"/>
  <c r="Q108" i="5"/>
  <c r="R105" i="5"/>
  <c r="P104" i="5"/>
  <c r="U102" i="5"/>
  <c r="Q118" i="5"/>
  <c r="V110" i="5"/>
  <c r="K76" i="8"/>
  <c r="D88" i="19" s="1"/>
  <c r="B234" i="12"/>
  <c r="K69" i="8"/>
  <c r="D81" i="19" s="1"/>
  <c r="B227" i="12"/>
  <c r="K72" i="8"/>
  <c r="D84" i="19" s="1"/>
  <c r="B230" i="12"/>
  <c r="K65" i="8"/>
  <c r="D77" i="19" s="1"/>
  <c r="B223" i="12"/>
  <c r="K70" i="8"/>
  <c r="D82" i="19" s="1"/>
  <c r="B228" i="12"/>
  <c r="S117" i="5"/>
  <c r="N108" i="5"/>
  <c r="S106" i="5"/>
  <c r="S114" i="5"/>
  <c r="U108" i="5"/>
  <c r="N116" i="5"/>
  <c r="M102" i="5"/>
  <c r="U114" i="5"/>
  <c r="S113" i="5"/>
  <c r="T115" i="5"/>
  <c r="M117" i="5"/>
  <c r="Q116" i="5"/>
  <c r="R117" i="5"/>
  <c r="T109" i="5"/>
  <c r="O115" i="5"/>
  <c r="K71" i="8"/>
  <c r="D83" i="19" s="1"/>
  <c r="B229" i="12"/>
  <c r="V117" i="5"/>
  <c r="O118" i="5"/>
  <c r="K78" i="8"/>
  <c r="D90" i="19" s="1"/>
  <c r="B236" i="12"/>
  <c r="K75" i="8"/>
  <c r="D87" i="19" s="1"/>
  <c r="B233" i="12"/>
  <c r="K67" i="8"/>
  <c r="B225" i="12"/>
  <c r="M116" i="5"/>
  <c r="Q104" i="5"/>
  <c r="S102" i="5"/>
  <c r="Q107" i="5"/>
  <c r="Q110" i="5"/>
  <c r="R103" i="5"/>
  <c r="U115" i="5"/>
  <c r="O110" i="5"/>
  <c r="O103" i="5"/>
  <c r="S112" i="5"/>
  <c r="O109" i="5"/>
  <c r="P115" i="5"/>
  <c r="N115" i="5"/>
  <c r="O117" i="5"/>
  <c r="P117" i="5"/>
  <c r="R104" i="5"/>
  <c r="H86" i="11"/>
  <c r="O721" i="2"/>
  <c r="C91" i="19"/>
  <c r="B91" i="19"/>
  <c r="C85" i="19"/>
  <c r="B85" i="19"/>
  <c r="C81" i="19"/>
  <c r="B81" i="19"/>
  <c r="B80" i="19"/>
  <c r="C80" i="19"/>
  <c r="O731" i="2"/>
  <c r="C92" i="19"/>
  <c r="B92" i="19"/>
  <c r="B78" i="19"/>
  <c r="C78" i="19"/>
  <c r="B87" i="19"/>
  <c r="C87" i="19"/>
  <c r="B84" i="19"/>
  <c r="C84" i="19"/>
  <c r="B77" i="19"/>
  <c r="C77" i="19"/>
  <c r="B83" i="19"/>
  <c r="C83" i="19"/>
  <c r="C82" i="19"/>
  <c r="B82" i="19"/>
  <c r="C90" i="19"/>
  <c r="B90" i="19"/>
  <c r="C86" i="19"/>
  <c r="B86" i="19"/>
  <c r="C79" i="19"/>
  <c r="B79" i="19"/>
  <c r="C89" i="19"/>
  <c r="B89" i="19"/>
  <c r="C88" i="19"/>
  <c r="B88" i="19"/>
  <c r="O655" i="2"/>
  <c r="O653" i="2"/>
  <c r="O652" i="2"/>
  <c r="O657" i="2"/>
  <c r="O660" i="2"/>
  <c r="O658" i="2"/>
  <c r="O654" i="2"/>
  <c r="AG280" i="2" s="1"/>
  <c r="O659" i="2"/>
  <c r="O656" i="2"/>
  <c r="O661" i="2"/>
  <c r="O604" i="2"/>
  <c r="AG230" i="2" s="1"/>
  <c r="O605" i="2"/>
  <c r="O610" i="2"/>
  <c r="O607" i="2"/>
  <c r="O602" i="2"/>
  <c r="O609" i="2"/>
  <c r="O611" i="2"/>
  <c r="O608" i="2"/>
  <c r="O606" i="2"/>
  <c r="O603" i="2"/>
  <c r="O617" i="2"/>
  <c r="O613" i="2"/>
  <c r="O614" i="2"/>
  <c r="AG240" i="2" s="1"/>
  <c r="O616" i="2"/>
  <c r="O621" i="2"/>
  <c r="O620" i="2"/>
  <c r="O618" i="2"/>
  <c r="O615" i="2"/>
  <c r="O612" i="2"/>
  <c r="O619" i="2"/>
  <c r="O589" i="2"/>
  <c r="O584" i="2"/>
  <c r="AG210" i="2" s="1"/>
  <c r="O583" i="2"/>
  <c r="O590" i="2"/>
  <c r="O588" i="2"/>
  <c r="O587" i="2"/>
  <c r="O585" i="2"/>
  <c r="U217" i="2"/>
  <c r="O642" i="2"/>
  <c r="O647" i="2"/>
  <c r="O644" i="2"/>
  <c r="AG270" i="2" s="1"/>
  <c r="O648" i="2"/>
  <c r="O650" i="2"/>
  <c r="O651" i="2"/>
  <c r="O646" i="2"/>
  <c r="O645" i="2"/>
  <c r="O643" i="2"/>
  <c r="O649" i="2"/>
  <c r="O597" i="2"/>
  <c r="O599" i="2"/>
  <c r="O600" i="2"/>
  <c r="O595" i="2"/>
  <c r="O594" i="2"/>
  <c r="AG220" i="2" s="1"/>
  <c r="O592" i="2"/>
  <c r="O598" i="2"/>
  <c r="O601" i="2"/>
  <c r="O593" i="2"/>
  <c r="O667" i="2"/>
  <c r="O665" i="2"/>
  <c r="O666" i="2"/>
  <c r="O671" i="2"/>
  <c r="O670" i="2"/>
  <c r="O668" i="2"/>
  <c r="O663" i="2"/>
  <c r="O662" i="2"/>
  <c r="O664" i="2"/>
  <c r="AG290" i="2" s="1"/>
  <c r="O669" i="2"/>
  <c r="F50" i="11"/>
  <c r="O578" i="2"/>
  <c r="O574" i="2"/>
  <c r="AG200" i="2" s="1"/>
  <c r="O573" i="2"/>
  <c r="O576" i="2"/>
  <c r="O580" i="2"/>
  <c r="O579" i="2"/>
  <c r="O577" i="2"/>
  <c r="O581" i="2"/>
  <c r="O575" i="2"/>
  <c r="O572" i="2"/>
  <c r="O640" i="2"/>
  <c r="O635" i="2"/>
  <c r="O637" i="2"/>
  <c r="O632" i="2"/>
  <c r="O641" i="2"/>
  <c r="O634" i="2"/>
  <c r="AG260" i="2" s="1"/>
  <c r="O633" i="2"/>
  <c r="O639" i="2"/>
  <c r="O638" i="2"/>
  <c r="O636" i="2"/>
  <c r="O624" i="2"/>
  <c r="AG250" i="2" s="1"/>
  <c r="O631" i="2"/>
  <c r="O629" i="2"/>
  <c r="O623" i="2"/>
  <c r="O627" i="2"/>
  <c r="O630" i="2"/>
  <c r="O628" i="2"/>
  <c r="O625" i="2"/>
  <c r="O622" i="2"/>
  <c r="O626" i="2"/>
  <c r="O702" i="2"/>
  <c r="O711" i="2"/>
  <c r="O706" i="2"/>
  <c r="O707" i="2"/>
  <c r="O710" i="2"/>
  <c r="O704" i="2"/>
  <c r="AG330" i="2" s="1"/>
  <c r="O703" i="2"/>
  <c r="O709" i="2"/>
  <c r="O708" i="2"/>
  <c r="O705" i="2"/>
  <c r="O678" i="2"/>
  <c r="O677" i="2"/>
  <c r="O675" i="2"/>
  <c r="O679" i="2"/>
  <c r="O680" i="2"/>
  <c r="O681" i="2"/>
  <c r="O673" i="2"/>
  <c r="O674" i="2"/>
  <c r="AG300" i="2" s="1"/>
  <c r="O676" i="2"/>
  <c r="O672" i="2"/>
  <c r="O694" i="2"/>
  <c r="AG320" i="2" s="1"/>
  <c r="O696" i="2"/>
  <c r="O700" i="2"/>
  <c r="O698" i="2"/>
  <c r="O701" i="2"/>
  <c r="O693" i="2"/>
  <c r="O697" i="2"/>
  <c r="O692" i="2"/>
  <c r="O699" i="2"/>
  <c r="O695" i="2"/>
  <c r="O689" i="2"/>
  <c r="O690" i="2"/>
  <c r="O686" i="2"/>
  <c r="O684" i="2"/>
  <c r="AG310" i="2" s="1"/>
  <c r="O687" i="2"/>
  <c r="O691" i="2"/>
  <c r="O682" i="2"/>
  <c r="O685" i="2"/>
  <c r="O683" i="2"/>
  <c r="O688" i="2"/>
  <c r="F48" i="12"/>
  <c r="F140" i="19" s="1"/>
  <c r="C72" i="12"/>
  <c r="C162" i="19" s="1"/>
  <c r="G48" i="12"/>
  <c r="G140" i="19" s="1"/>
  <c r="D72" i="12"/>
  <c r="D162" i="19" s="1"/>
  <c r="H48" i="12"/>
  <c r="H140" i="19" s="1"/>
  <c r="E72" i="12"/>
  <c r="E162" i="19" s="1"/>
  <c r="G72" i="12"/>
  <c r="G162" i="19" s="1"/>
  <c r="C48" i="12"/>
  <c r="C140" i="19" s="1"/>
  <c r="H72" i="12"/>
  <c r="H162" i="19" s="1"/>
  <c r="D48" i="12"/>
  <c r="D140" i="19" s="1"/>
  <c r="E48" i="12"/>
  <c r="E140" i="19" s="1"/>
  <c r="F72" i="12"/>
  <c r="F162" i="19" s="1"/>
  <c r="P79" i="8"/>
  <c r="E91" i="19" s="1"/>
  <c r="O79" i="8"/>
  <c r="E113" i="19" s="1"/>
  <c r="L79" i="8"/>
  <c r="C113" i="19" s="1"/>
  <c r="M79" i="8"/>
  <c r="D113" i="19" s="1"/>
  <c r="N79" i="8"/>
  <c r="C38" i="12"/>
  <c r="C130" i="19" s="1"/>
  <c r="C62" i="12"/>
  <c r="E38" i="12"/>
  <c r="E130" i="19" s="1"/>
  <c r="E62" i="12"/>
  <c r="F38" i="12"/>
  <c r="F130" i="19" s="1"/>
  <c r="F62" i="12"/>
  <c r="F152" i="19" s="1"/>
  <c r="G38" i="12"/>
  <c r="G130" i="19" s="1"/>
  <c r="G62" i="12"/>
  <c r="G152" i="19" s="1"/>
  <c r="D38" i="12"/>
  <c r="D130" i="19" s="1"/>
  <c r="H38" i="12"/>
  <c r="H130" i="19" s="1"/>
  <c r="D62" i="12"/>
  <c r="H62" i="12"/>
  <c r="H152" i="19" s="1"/>
  <c r="L69" i="8"/>
  <c r="C103" i="19" s="1"/>
  <c r="N69" i="8"/>
  <c r="P69" i="8"/>
  <c r="E81" i="19" s="1"/>
  <c r="M69" i="8"/>
  <c r="D103" i="19" s="1"/>
  <c r="O69" i="8"/>
  <c r="E103" i="19" s="1"/>
  <c r="G49" i="12"/>
  <c r="G141" i="19" s="1"/>
  <c r="D73" i="12"/>
  <c r="D163" i="19" s="1"/>
  <c r="H49" i="12"/>
  <c r="H141" i="19" s="1"/>
  <c r="E73" i="12"/>
  <c r="E163" i="19" s="1"/>
  <c r="F73" i="12"/>
  <c r="F163" i="19" s="1"/>
  <c r="C49" i="12"/>
  <c r="C141" i="19" s="1"/>
  <c r="H73" i="12"/>
  <c r="H163" i="19" s="1"/>
  <c r="D49" i="12"/>
  <c r="D141" i="19" s="1"/>
  <c r="E49" i="12"/>
  <c r="E141" i="19" s="1"/>
  <c r="G73" i="12"/>
  <c r="G163" i="19" s="1"/>
  <c r="F49" i="12"/>
  <c r="F141" i="19" s="1"/>
  <c r="C73" i="12"/>
  <c r="C163" i="19" s="1"/>
  <c r="M80" i="8"/>
  <c r="D114" i="19" s="1"/>
  <c r="L80" i="8"/>
  <c r="C114" i="19" s="1"/>
  <c r="N80" i="8"/>
  <c r="O80" i="8"/>
  <c r="E114" i="19" s="1"/>
  <c r="P80" i="8"/>
  <c r="E92" i="19" s="1"/>
  <c r="H42" i="12"/>
  <c r="H134" i="19" s="1"/>
  <c r="E66" i="12"/>
  <c r="F66" i="12"/>
  <c r="F156" i="19" s="1"/>
  <c r="G66" i="12"/>
  <c r="G156" i="19" s="1"/>
  <c r="D42" i="12"/>
  <c r="D134" i="19" s="1"/>
  <c r="E42" i="12"/>
  <c r="E134" i="19" s="1"/>
  <c r="F42" i="12"/>
  <c r="F134" i="19" s="1"/>
  <c r="C66" i="12"/>
  <c r="C42" i="12"/>
  <c r="C134" i="19" s="1"/>
  <c r="G42" i="12"/>
  <c r="G134" i="19" s="1"/>
  <c r="D66" i="12"/>
  <c r="H66" i="12"/>
  <c r="H156" i="19" s="1"/>
  <c r="P73" i="8"/>
  <c r="E85" i="19" s="1"/>
  <c r="L73" i="8"/>
  <c r="C107" i="19" s="1"/>
  <c r="M73" i="8"/>
  <c r="D107" i="19" s="1"/>
  <c r="N73" i="8"/>
  <c r="O73" i="8"/>
  <c r="E107" i="19" s="1"/>
  <c r="D35" i="12"/>
  <c r="D127" i="19" s="1"/>
  <c r="F59" i="12"/>
  <c r="F149" i="19" s="1"/>
  <c r="E35" i="12"/>
  <c r="G59" i="12"/>
  <c r="G149" i="19" s="1"/>
  <c r="F35" i="12"/>
  <c r="F127" i="19" s="1"/>
  <c r="H59" i="12"/>
  <c r="H149" i="19" s="1"/>
  <c r="H35" i="12"/>
  <c r="H127" i="19" s="1"/>
  <c r="C59" i="12"/>
  <c r="D59" i="12"/>
  <c r="C35" i="12"/>
  <c r="C127" i="19" s="1"/>
  <c r="G35" i="12"/>
  <c r="G127" i="19" s="1"/>
  <c r="E59" i="12"/>
  <c r="L66" i="8"/>
  <c r="C100" i="19" s="1"/>
  <c r="M66" i="8"/>
  <c r="O66" i="8"/>
  <c r="E100" i="19" s="1"/>
  <c r="N66" i="8"/>
  <c r="P66" i="8"/>
  <c r="E78" i="19" s="1"/>
  <c r="F67" i="12"/>
  <c r="F157" i="19" s="1"/>
  <c r="G67" i="12"/>
  <c r="G157" i="19" s="1"/>
  <c r="C43" i="12"/>
  <c r="C135" i="19" s="1"/>
  <c r="H67" i="12"/>
  <c r="H157" i="19" s="1"/>
  <c r="E43" i="12"/>
  <c r="E135" i="19" s="1"/>
  <c r="F43" i="12"/>
  <c r="F135" i="19" s="1"/>
  <c r="C67" i="12"/>
  <c r="G43" i="12"/>
  <c r="G135" i="19" s="1"/>
  <c r="D67" i="12"/>
  <c r="D43" i="12"/>
  <c r="D135" i="19" s="1"/>
  <c r="H43" i="12"/>
  <c r="H135" i="19" s="1"/>
  <c r="E67" i="12"/>
  <c r="L74" i="8"/>
  <c r="C109" i="19" s="1"/>
  <c r="M74" i="8"/>
  <c r="D109" i="19" s="1"/>
  <c r="O74" i="8"/>
  <c r="E109" i="19" s="1"/>
  <c r="P74" i="8"/>
  <c r="E87" i="19" s="1"/>
  <c r="N74" i="8"/>
  <c r="C34" i="12"/>
  <c r="C126" i="19" s="1"/>
  <c r="E58" i="12"/>
  <c r="D34" i="12"/>
  <c r="D126" i="19" s="1"/>
  <c r="F58" i="12"/>
  <c r="F148" i="19" s="1"/>
  <c r="E34" i="12"/>
  <c r="E126" i="19" s="1"/>
  <c r="G58" i="12"/>
  <c r="G148" i="19" s="1"/>
  <c r="G34" i="12"/>
  <c r="G126" i="19" s="1"/>
  <c r="H34" i="12"/>
  <c r="H126" i="19" s="1"/>
  <c r="C58" i="12"/>
  <c r="F34" i="12"/>
  <c r="F126" i="19" s="1"/>
  <c r="D58" i="12"/>
  <c r="O65" i="8"/>
  <c r="H58" i="12"/>
  <c r="H148" i="19" s="1"/>
  <c r="P65" i="8"/>
  <c r="L65" i="8"/>
  <c r="M65" i="8"/>
  <c r="N65" i="8"/>
  <c r="G37" i="12"/>
  <c r="G129" i="19" s="1"/>
  <c r="H61" i="12"/>
  <c r="H151" i="19" s="1"/>
  <c r="H37" i="12"/>
  <c r="H129" i="19" s="1"/>
  <c r="C37" i="12"/>
  <c r="C129" i="19" s="1"/>
  <c r="D61" i="12"/>
  <c r="D37" i="12"/>
  <c r="D129" i="19" s="1"/>
  <c r="E61" i="12"/>
  <c r="E37" i="12"/>
  <c r="E129" i="19" s="1"/>
  <c r="F61" i="12"/>
  <c r="F151" i="19" s="1"/>
  <c r="C61" i="12"/>
  <c r="F37" i="12"/>
  <c r="F129" i="19" s="1"/>
  <c r="G61" i="12"/>
  <c r="G151" i="19" s="1"/>
  <c r="M68" i="8"/>
  <c r="D102" i="19" s="1"/>
  <c r="N68" i="8"/>
  <c r="O68" i="8"/>
  <c r="E102" i="19" s="1"/>
  <c r="L68" i="8"/>
  <c r="C102" i="19" s="1"/>
  <c r="P68" i="8"/>
  <c r="E80" i="19" s="1"/>
  <c r="F41" i="12"/>
  <c r="F133" i="19" s="1"/>
  <c r="D65" i="12"/>
  <c r="G41" i="12"/>
  <c r="G133" i="19" s="1"/>
  <c r="E65" i="12"/>
  <c r="H41" i="12"/>
  <c r="H133" i="19" s="1"/>
  <c r="F65" i="12"/>
  <c r="F155" i="19" s="1"/>
  <c r="H65" i="12"/>
  <c r="H155" i="19" s="1"/>
  <c r="C41" i="12"/>
  <c r="C133" i="19" s="1"/>
  <c r="D41" i="12"/>
  <c r="D133" i="19" s="1"/>
  <c r="C65" i="12"/>
  <c r="G65" i="12"/>
  <c r="G155" i="19" s="1"/>
  <c r="E41" i="12"/>
  <c r="E133" i="19" s="1"/>
  <c r="M72" i="8"/>
  <c r="D106" i="19" s="1"/>
  <c r="P72" i="8"/>
  <c r="E84" i="19" s="1"/>
  <c r="L72" i="8"/>
  <c r="C106" i="19" s="1"/>
  <c r="N72" i="8"/>
  <c r="O72" i="8"/>
  <c r="E106" i="19" s="1"/>
  <c r="C39" i="12"/>
  <c r="C131" i="19" s="1"/>
  <c r="C63" i="12"/>
  <c r="D39" i="12"/>
  <c r="D131" i="19" s="1"/>
  <c r="D63" i="12"/>
  <c r="F39" i="12"/>
  <c r="F131" i="19" s="1"/>
  <c r="F63" i="12"/>
  <c r="F153" i="19" s="1"/>
  <c r="G39" i="12"/>
  <c r="G131" i="19" s="1"/>
  <c r="G63" i="12"/>
  <c r="G153" i="19" s="1"/>
  <c r="H39" i="12"/>
  <c r="H131" i="19" s="1"/>
  <c r="H63" i="12"/>
  <c r="H153" i="19" s="1"/>
  <c r="E39" i="12"/>
  <c r="E131" i="19" s="1"/>
  <c r="O70" i="8"/>
  <c r="E104" i="19" s="1"/>
  <c r="N70" i="8"/>
  <c r="P70" i="8"/>
  <c r="E82" i="19" s="1"/>
  <c r="E63" i="12"/>
  <c r="L70" i="8"/>
  <c r="C104" i="19" s="1"/>
  <c r="M70" i="8"/>
  <c r="D104" i="19" s="1"/>
  <c r="D40" i="12"/>
  <c r="D132" i="19" s="1"/>
  <c r="C64" i="12"/>
  <c r="E40" i="12"/>
  <c r="E132" i="19" s="1"/>
  <c r="D64" i="12"/>
  <c r="F40" i="12"/>
  <c r="F132" i="19" s="1"/>
  <c r="E64" i="12"/>
  <c r="H40" i="12"/>
  <c r="H132" i="19" s="1"/>
  <c r="G64" i="12"/>
  <c r="G154" i="19" s="1"/>
  <c r="H64" i="12"/>
  <c r="H154" i="19" s="1"/>
  <c r="G40" i="12"/>
  <c r="G132" i="19" s="1"/>
  <c r="F64" i="12"/>
  <c r="F154" i="19" s="1"/>
  <c r="C40" i="12"/>
  <c r="C132" i="19" s="1"/>
  <c r="L71" i="8"/>
  <c r="C105" i="19" s="1"/>
  <c r="M71" i="8"/>
  <c r="D105" i="19" s="1"/>
  <c r="O71" i="8"/>
  <c r="E105" i="19" s="1"/>
  <c r="N71" i="8"/>
  <c r="P71" i="8"/>
  <c r="E83" i="19" s="1"/>
  <c r="E47" i="12"/>
  <c r="E139" i="19" s="1"/>
  <c r="F47" i="12"/>
  <c r="F139" i="19" s="1"/>
  <c r="C71" i="12"/>
  <c r="G47" i="12"/>
  <c r="G139" i="19" s="1"/>
  <c r="D71" i="12"/>
  <c r="F71" i="12"/>
  <c r="F161" i="19" s="1"/>
  <c r="G71" i="12"/>
  <c r="G161" i="19" s="1"/>
  <c r="C47" i="12"/>
  <c r="C139" i="19" s="1"/>
  <c r="H71" i="12"/>
  <c r="H161" i="19" s="1"/>
  <c r="D47" i="12"/>
  <c r="D139" i="19" s="1"/>
  <c r="H47" i="12"/>
  <c r="H139" i="19" s="1"/>
  <c r="E71" i="12"/>
  <c r="O78" i="8"/>
  <c r="E112" i="19" s="1"/>
  <c r="L78" i="8"/>
  <c r="C112" i="19" s="1"/>
  <c r="M78" i="8"/>
  <c r="D112" i="19" s="1"/>
  <c r="P78" i="8"/>
  <c r="E90" i="19" s="1"/>
  <c r="N78" i="8"/>
  <c r="G68" i="12"/>
  <c r="G158" i="19" s="1"/>
  <c r="C44" i="12"/>
  <c r="C136" i="19" s="1"/>
  <c r="H68" i="12"/>
  <c r="H158" i="19" s="1"/>
  <c r="D44" i="12"/>
  <c r="D136" i="19" s="1"/>
  <c r="F44" i="12"/>
  <c r="F136" i="19" s="1"/>
  <c r="C68" i="12"/>
  <c r="G44" i="12"/>
  <c r="G136" i="19" s="1"/>
  <c r="D68" i="12"/>
  <c r="H44" i="12"/>
  <c r="H136" i="19" s="1"/>
  <c r="E68" i="12"/>
  <c r="E44" i="12"/>
  <c r="E136" i="19" s="1"/>
  <c r="F68" i="12"/>
  <c r="F158" i="19" s="1"/>
  <c r="N75" i="8"/>
  <c r="M75" i="8"/>
  <c r="D108" i="19" s="1"/>
  <c r="O75" i="8"/>
  <c r="E108" i="19" s="1"/>
  <c r="P75" i="8"/>
  <c r="E86" i="19" s="1"/>
  <c r="L75" i="8"/>
  <c r="C108" i="19" s="1"/>
  <c r="J64" i="8"/>
  <c r="W98" i="5"/>
  <c r="F5" i="5" s="1"/>
  <c r="F36" i="12"/>
  <c r="F128" i="19" s="1"/>
  <c r="G60" i="12"/>
  <c r="G150" i="19" s="1"/>
  <c r="G36" i="12"/>
  <c r="G128" i="19" s="1"/>
  <c r="H60" i="12"/>
  <c r="H150" i="19" s="1"/>
  <c r="H36" i="12"/>
  <c r="H128" i="19" s="1"/>
  <c r="C60" i="12"/>
  <c r="C36" i="12"/>
  <c r="C128" i="19" s="1"/>
  <c r="D60" i="12"/>
  <c r="D36" i="12"/>
  <c r="D128" i="19" s="1"/>
  <c r="E60" i="12"/>
  <c r="E36" i="12"/>
  <c r="F60" i="12"/>
  <c r="F150" i="19" s="1"/>
  <c r="N67" i="8"/>
  <c r="L67" i="8"/>
  <c r="C101" i="19" s="1"/>
  <c r="O67" i="8"/>
  <c r="E101" i="19" s="1"/>
  <c r="M67" i="8"/>
  <c r="D101" i="19" s="1"/>
  <c r="P67" i="8"/>
  <c r="E79" i="19" s="1"/>
  <c r="D46" i="12"/>
  <c r="D138" i="19" s="1"/>
  <c r="E46" i="12"/>
  <c r="E138" i="19" s="1"/>
  <c r="F46" i="12"/>
  <c r="F138" i="19" s="1"/>
  <c r="C70" i="12"/>
  <c r="H46" i="12"/>
  <c r="H138" i="19" s="1"/>
  <c r="E70" i="12"/>
  <c r="F70" i="12"/>
  <c r="F160" i="19" s="1"/>
  <c r="G70" i="12"/>
  <c r="G160" i="19" s="1"/>
  <c r="C46" i="12"/>
  <c r="C138" i="19" s="1"/>
  <c r="G46" i="12"/>
  <c r="G138" i="19" s="1"/>
  <c r="D70" i="12"/>
  <c r="H70" i="12"/>
  <c r="H160" i="19" s="1"/>
  <c r="L77" i="8"/>
  <c r="C111" i="19" s="1"/>
  <c r="O77" i="8"/>
  <c r="E111" i="19" s="1"/>
  <c r="P77" i="8"/>
  <c r="E89" i="19" s="1"/>
  <c r="M77" i="8"/>
  <c r="D111" i="19" s="1"/>
  <c r="N77" i="8"/>
  <c r="C45" i="12"/>
  <c r="C137" i="19" s="1"/>
  <c r="H69" i="12"/>
  <c r="H159" i="19" s="1"/>
  <c r="D45" i="12"/>
  <c r="D137" i="19" s="1"/>
  <c r="E45" i="12"/>
  <c r="E137" i="19" s="1"/>
  <c r="G45" i="12"/>
  <c r="G137" i="19" s="1"/>
  <c r="D69" i="12"/>
  <c r="H45" i="12"/>
  <c r="H137" i="19" s="1"/>
  <c r="E69" i="12"/>
  <c r="F69" i="12"/>
  <c r="F159" i="19" s="1"/>
  <c r="F45" i="12"/>
  <c r="F137" i="19" s="1"/>
  <c r="C69" i="12"/>
  <c r="G69" i="12"/>
  <c r="G159" i="19" s="1"/>
  <c r="L76" i="8"/>
  <c r="C110" i="19" s="1"/>
  <c r="M76" i="8"/>
  <c r="D110" i="19" s="1"/>
  <c r="N76" i="8"/>
  <c r="O76" i="8"/>
  <c r="E110" i="19" s="1"/>
  <c r="P76" i="8"/>
  <c r="E88" i="19" s="1"/>
  <c r="W102" i="5" l="1"/>
  <c r="F93" i="11"/>
  <c r="W106" i="5"/>
  <c r="F87" i="11"/>
  <c r="R119" i="5"/>
  <c r="H87" i="11"/>
  <c r="W103" i="5"/>
  <c r="H93" i="11"/>
  <c r="P119" i="5"/>
  <c r="F95" i="11"/>
  <c r="F91" i="11"/>
  <c r="W113" i="5"/>
  <c r="V119" i="5"/>
  <c r="V66" i="8"/>
  <c r="H100" i="19" s="1"/>
  <c r="H90" i="11"/>
  <c r="H95" i="11"/>
  <c r="O119" i="5"/>
  <c r="O948" i="2"/>
  <c r="U963" i="2" s="1"/>
  <c r="F125" i="11"/>
  <c r="O596" i="2" s="1"/>
  <c r="O951" i="2"/>
  <c r="U966" i="2" s="1"/>
  <c r="D79" i="19"/>
  <c r="O950" i="2"/>
  <c r="U965" i="2" s="1"/>
  <c r="O949" i="2"/>
  <c r="U964" i="2" s="1"/>
  <c r="O953" i="2"/>
  <c r="U968" i="2" s="1"/>
  <c r="O947" i="2"/>
  <c r="U962" i="2" s="1"/>
  <c r="O946" i="2"/>
  <c r="U961" i="2" s="1"/>
  <c r="O945" i="2"/>
  <c r="U960" i="2" s="1"/>
  <c r="O952" i="2"/>
  <c r="U967" i="2" s="1"/>
  <c r="M298" i="12"/>
  <c r="AA890" i="2" s="1"/>
  <c r="O361" i="12"/>
  <c r="AG844" i="2" s="1"/>
  <c r="K341" i="12"/>
  <c r="M320" i="12"/>
  <c r="K320" i="12"/>
  <c r="I320" i="12"/>
  <c r="J277" i="12"/>
  <c r="G361" i="12"/>
  <c r="AG836" i="2" s="1"/>
  <c r="B341" i="12"/>
  <c r="E320" i="12"/>
  <c r="C320" i="12"/>
  <c r="L341" i="12"/>
  <c r="H298" i="12"/>
  <c r="AA885" i="2" s="1"/>
  <c r="I298" i="12"/>
  <c r="AA886" i="2" s="1"/>
  <c r="C298" i="12"/>
  <c r="J361" i="12"/>
  <c r="AG839" i="2" s="1"/>
  <c r="N361" i="12"/>
  <c r="AG843" i="2" s="1"/>
  <c r="K361" i="12"/>
  <c r="AG840" i="2" s="1"/>
  <c r="P341" i="12"/>
  <c r="N341" i="12"/>
  <c r="C341" i="12"/>
  <c r="P298" i="12"/>
  <c r="AA893" i="2" s="1"/>
  <c r="G320" i="12"/>
  <c r="O255" i="12"/>
  <c r="K298" i="12"/>
  <c r="AA888" i="2" s="1"/>
  <c r="B361" i="12"/>
  <c r="F361" i="12"/>
  <c r="AG835" i="2" s="1"/>
  <c r="J341" i="12"/>
  <c r="G341" i="12"/>
  <c r="E341" i="12"/>
  <c r="P320" i="12"/>
  <c r="G298" i="12"/>
  <c r="AA884" i="2" s="1"/>
  <c r="O320" i="12"/>
  <c r="G255" i="12"/>
  <c r="C277" i="12"/>
  <c r="I361" i="12"/>
  <c r="AG838" i="2" s="1"/>
  <c r="M361" i="12"/>
  <c r="AG842" i="2" s="1"/>
  <c r="N320" i="12"/>
  <c r="L320" i="12"/>
  <c r="J320" i="12"/>
  <c r="H320" i="12"/>
  <c r="O298" i="12"/>
  <c r="AA892" i="2" s="1"/>
  <c r="K277" i="12"/>
  <c r="N298" i="12"/>
  <c r="AA891" i="2" s="1"/>
  <c r="P361" i="12"/>
  <c r="AG845" i="2" s="1"/>
  <c r="L361" i="12"/>
  <c r="AG841" i="2" s="1"/>
  <c r="C361" i="12"/>
  <c r="O341" i="12"/>
  <c r="M341" i="12"/>
  <c r="J298" i="12"/>
  <c r="AA887" i="2" s="1"/>
  <c r="F320" i="12"/>
  <c r="E277" i="12"/>
  <c r="D255" i="12"/>
  <c r="F298" i="12"/>
  <c r="AA883" i="2" s="1"/>
  <c r="H341" i="12"/>
  <c r="D298" i="12"/>
  <c r="AA881" i="2" s="1"/>
  <c r="M277" i="12"/>
  <c r="E361" i="12"/>
  <c r="AG834" i="2" s="1"/>
  <c r="D320" i="12"/>
  <c r="B298" i="12"/>
  <c r="L298" i="12"/>
  <c r="AA889" i="2" s="1"/>
  <c r="M255" i="12"/>
  <c r="H277" i="12"/>
  <c r="L277" i="12"/>
  <c r="E298" i="12"/>
  <c r="AA882" i="2" s="1"/>
  <c r="F341" i="12"/>
  <c r="E255" i="12"/>
  <c r="G277" i="12"/>
  <c r="J255" i="12"/>
  <c r="P277" i="12"/>
  <c r="B277" i="12"/>
  <c r="N255" i="12"/>
  <c r="N277" i="12"/>
  <c r="I341" i="12"/>
  <c r="B320" i="12"/>
  <c r="K255" i="12"/>
  <c r="O277" i="12"/>
  <c r="B255" i="12"/>
  <c r="P255" i="12"/>
  <c r="H361" i="12"/>
  <c r="AG837" i="2" s="1"/>
  <c r="D341" i="12"/>
  <c r="D277" i="12"/>
  <c r="F277" i="12"/>
  <c r="I255" i="12"/>
  <c r="H255" i="12"/>
  <c r="D361" i="12"/>
  <c r="AG833" i="2" s="1"/>
  <c r="F255" i="12"/>
  <c r="L255" i="12"/>
  <c r="I277" i="12"/>
  <c r="C255" i="12"/>
  <c r="Q341" i="12"/>
  <c r="Q320" i="12"/>
  <c r="Q361" i="12"/>
  <c r="AG830" i="2" s="1"/>
  <c r="Q298" i="12"/>
  <c r="AA878" i="2" s="1"/>
  <c r="Q277" i="12"/>
  <c r="Q255" i="12"/>
  <c r="J284" i="12"/>
  <c r="D305" i="12"/>
  <c r="AA993" i="2" s="1"/>
  <c r="L305" i="12"/>
  <c r="AA1001" i="2" s="1"/>
  <c r="C284" i="12"/>
  <c r="I348" i="12"/>
  <c r="M348" i="12"/>
  <c r="M284" i="12"/>
  <c r="N327" i="12"/>
  <c r="J368" i="12"/>
  <c r="AG951" i="2" s="1"/>
  <c r="F284" i="12"/>
  <c r="J305" i="12"/>
  <c r="AA999" i="2" s="1"/>
  <c r="D284" i="12"/>
  <c r="P284" i="12"/>
  <c r="M368" i="12"/>
  <c r="AG954" i="2" s="1"/>
  <c r="L368" i="12"/>
  <c r="AG953" i="2" s="1"/>
  <c r="C262" i="12"/>
  <c r="H348" i="12"/>
  <c r="J348" i="12"/>
  <c r="E305" i="12"/>
  <c r="AA994" i="2" s="1"/>
  <c r="I305" i="12"/>
  <c r="AA998" i="2" s="1"/>
  <c r="E348" i="12"/>
  <c r="P262" i="12"/>
  <c r="O284" i="12"/>
  <c r="F327" i="12"/>
  <c r="O262" i="12"/>
  <c r="I368" i="12"/>
  <c r="AG950" i="2" s="1"/>
  <c r="I327" i="12"/>
  <c r="J262" i="12"/>
  <c r="F305" i="12"/>
  <c r="AA995" i="2" s="1"/>
  <c r="N368" i="12"/>
  <c r="AG955" i="2" s="1"/>
  <c r="O348" i="12"/>
  <c r="E262" i="12"/>
  <c r="N348" i="12"/>
  <c r="L262" i="12"/>
  <c r="E284" i="12"/>
  <c r="B305" i="12"/>
  <c r="M262" i="12"/>
  <c r="L284" i="12"/>
  <c r="M327" i="12"/>
  <c r="L327" i="12"/>
  <c r="B262" i="12"/>
  <c r="H284" i="12"/>
  <c r="H368" i="12"/>
  <c r="AG949" i="2" s="1"/>
  <c r="K327" i="12"/>
  <c r="O368" i="12"/>
  <c r="AG956" i="2" s="1"/>
  <c r="J327" i="12"/>
  <c r="F368" i="12"/>
  <c r="AG947" i="2" s="1"/>
  <c r="N262" i="12"/>
  <c r="K305" i="12"/>
  <c r="AA1000" i="2" s="1"/>
  <c r="G348" i="12"/>
  <c r="B284" i="12"/>
  <c r="F348" i="12"/>
  <c r="D262" i="12"/>
  <c r="N305" i="12"/>
  <c r="AA1003" i="2" s="1"/>
  <c r="G284" i="12"/>
  <c r="E327" i="12"/>
  <c r="I284" i="12"/>
  <c r="P368" i="12"/>
  <c r="AG957" i="2" s="1"/>
  <c r="B348" i="12"/>
  <c r="F262" i="12"/>
  <c r="C305" i="12"/>
  <c r="K284" i="12"/>
  <c r="M305" i="12"/>
  <c r="AA1002" i="2" s="1"/>
  <c r="B327" i="12"/>
  <c r="O327" i="12"/>
  <c r="K368" i="12"/>
  <c r="AG952" i="2" s="1"/>
  <c r="D327" i="12"/>
  <c r="P305" i="12"/>
  <c r="AA1005" i="2" s="1"/>
  <c r="L348" i="12"/>
  <c r="P348" i="12"/>
  <c r="I262" i="12"/>
  <c r="O305" i="12"/>
  <c r="AA1004" i="2" s="1"/>
  <c r="E368" i="12"/>
  <c r="AG946" i="2" s="1"/>
  <c r="D368" i="12"/>
  <c r="AG945" i="2" s="1"/>
  <c r="G305" i="12"/>
  <c r="AA996" i="2" s="1"/>
  <c r="G262" i="12"/>
  <c r="C327" i="12"/>
  <c r="H262" i="12"/>
  <c r="N284" i="12"/>
  <c r="G327" i="12"/>
  <c r="C368" i="12"/>
  <c r="B368" i="12"/>
  <c r="G368" i="12"/>
  <c r="AG948" i="2" s="1"/>
  <c r="K262" i="12"/>
  <c r="H305" i="12"/>
  <c r="AA997" i="2" s="1"/>
  <c r="D348" i="12"/>
  <c r="P327" i="12"/>
  <c r="K348" i="12"/>
  <c r="H327" i="12"/>
  <c r="C348" i="12"/>
  <c r="Q348" i="12"/>
  <c r="Q368" i="12"/>
  <c r="AG942" i="2" s="1"/>
  <c r="Q327" i="12"/>
  <c r="Q305" i="12"/>
  <c r="AA990" i="2" s="1"/>
  <c r="Q262" i="12"/>
  <c r="Q284" i="12"/>
  <c r="J301" i="12"/>
  <c r="AA935" i="2" s="1"/>
  <c r="G323" i="12"/>
  <c r="O301" i="12"/>
  <c r="AA940" i="2" s="1"/>
  <c r="M301" i="12"/>
  <c r="AA938" i="2" s="1"/>
  <c r="D301" i="12"/>
  <c r="AA929" i="2" s="1"/>
  <c r="B301" i="12"/>
  <c r="O258" i="12"/>
  <c r="P301" i="12"/>
  <c r="AA941" i="2" s="1"/>
  <c r="I364" i="12"/>
  <c r="AG886" i="2" s="1"/>
  <c r="M364" i="12"/>
  <c r="AG890" i="2" s="1"/>
  <c r="F323" i="12"/>
  <c r="L323" i="12"/>
  <c r="C323" i="12"/>
  <c r="K301" i="12"/>
  <c r="AA936" i="2" s="1"/>
  <c r="I344" i="12"/>
  <c r="E364" i="12"/>
  <c r="AG882" i="2" s="1"/>
  <c r="O344" i="12"/>
  <c r="D323" i="12"/>
  <c r="L344" i="12"/>
  <c r="C301" i="12"/>
  <c r="I301" i="12"/>
  <c r="AA934" i="2" s="1"/>
  <c r="P364" i="12"/>
  <c r="AG893" i="2" s="1"/>
  <c r="L364" i="12"/>
  <c r="AG889" i="2" s="1"/>
  <c r="F344" i="12"/>
  <c r="N301" i="12"/>
  <c r="AA939" i="2" s="1"/>
  <c r="C344" i="12"/>
  <c r="J344" i="12"/>
  <c r="H364" i="12"/>
  <c r="AG885" i="2" s="1"/>
  <c r="D364" i="12"/>
  <c r="AG881" i="2" s="1"/>
  <c r="M323" i="12"/>
  <c r="F301" i="12"/>
  <c r="AA931" i="2" s="1"/>
  <c r="J323" i="12"/>
  <c r="P323" i="12"/>
  <c r="O323" i="12"/>
  <c r="O364" i="12"/>
  <c r="AG892" i="2" s="1"/>
  <c r="H344" i="12"/>
  <c r="E323" i="12"/>
  <c r="C364" i="12"/>
  <c r="B323" i="12"/>
  <c r="H323" i="12"/>
  <c r="G258" i="12"/>
  <c r="G301" i="12"/>
  <c r="AA932" i="2" s="1"/>
  <c r="H280" i="12"/>
  <c r="J364" i="12"/>
  <c r="AG887" i="2" s="1"/>
  <c r="N364" i="12"/>
  <c r="AG891" i="2" s="1"/>
  <c r="G344" i="12"/>
  <c r="N344" i="12"/>
  <c r="D344" i="12"/>
  <c r="B344" i="12"/>
  <c r="P344" i="12"/>
  <c r="N258" i="12"/>
  <c r="E280" i="12"/>
  <c r="L301" i="12"/>
  <c r="AA937" i="2" s="1"/>
  <c r="K258" i="12"/>
  <c r="N323" i="12"/>
  <c r="F258" i="12"/>
  <c r="L258" i="12"/>
  <c r="D280" i="12"/>
  <c r="M280" i="12"/>
  <c r="G364" i="12"/>
  <c r="AG884" i="2" s="1"/>
  <c r="K364" i="12"/>
  <c r="AG888" i="2" s="1"/>
  <c r="P280" i="12"/>
  <c r="D258" i="12"/>
  <c r="L280" i="12"/>
  <c r="I258" i="12"/>
  <c r="E301" i="12"/>
  <c r="AA930" i="2" s="1"/>
  <c r="E344" i="12"/>
  <c r="I280" i="12"/>
  <c r="C280" i="12"/>
  <c r="F280" i="12"/>
  <c r="B280" i="12"/>
  <c r="H301" i="12"/>
  <c r="AA933" i="2" s="1"/>
  <c r="O280" i="12"/>
  <c r="M344" i="12"/>
  <c r="M258" i="12"/>
  <c r="K280" i="12"/>
  <c r="N280" i="12"/>
  <c r="B364" i="12"/>
  <c r="K323" i="12"/>
  <c r="E258" i="12"/>
  <c r="J258" i="12"/>
  <c r="K344" i="12"/>
  <c r="I323" i="12"/>
  <c r="P258" i="12"/>
  <c r="H258" i="12"/>
  <c r="C258" i="12"/>
  <c r="J280" i="12"/>
  <c r="B258" i="12"/>
  <c r="F364" i="12"/>
  <c r="AG883" i="2" s="1"/>
  <c r="G280" i="12"/>
  <c r="Q323" i="12"/>
  <c r="Q344" i="12"/>
  <c r="Q280" i="12"/>
  <c r="Q258" i="12"/>
  <c r="Q301" i="12"/>
  <c r="AA926" i="2" s="1"/>
  <c r="Q364" i="12"/>
  <c r="AG878" i="2" s="1"/>
  <c r="O319" i="12"/>
  <c r="C360" i="12"/>
  <c r="O360" i="12"/>
  <c r="AG828" i="2" s="1"/>
  <c r="G254" i="12"/>
  <c r="P276" i="12"/>
  <c r="G340" i="12"/>
  <c r="D297" i="12"/>
  <c r="AA865" i="2" s="1"/>
  <c r="I340" i="12"/>
  <c r="N340" i="12"/>
  <c r="F276" i="12"/>
  <c r="K360" i="12"/>
  <c r="AG824" i="2" s="1"/>
  <c r="L340" i="12"/>
  <c r="K276" i="12"/>
  <c r="P319" i="12"/>
  <c r="E319" i="12"/>
  <c r="P340" i="12"/>
  <c r="N319" i="12"/>
  <c r="F297" i="12"/>
  <c r="AA867" i="2" s="1"/>
  <c r="H276" i="12"/>
  <c r="M360" i="12"/>
  <c r="AG826" i="2" s="1"/>
  <c r="J340" i="12"/>
  <c r="O276" i="12"/>
  <c r="F340" i="12"/>
  <c r="J276" i="12"/>
  <c r="L254" i="12"/>
  <c r="D340" i="12"/>
  <c r="F319" i="12"/>
  <c r="M319" i="12"/>
  <c r="N360" i="12"/>
  <c r="AG827" i="2" s="1"/>
  <c r="M297" i="12"/>
  <c r="AA874" i="2" s="1"/>
  <c r="H254" i="12"/>
  <c r="J319" i="12"/>
  <c r="N297" i="12"/>
  <c r="AA875" i="2" s="1"/>
  <c r="N254" i="12"/>
  <c r="E360" i="12"/>
  <c r="AG818" i="2" s="1"/>
  <c r="G276" i="12"/>
  <c r="L360" i="12"/>
  <c r="AG825" i="2" s="1"/>
  <c r="G319" i="12"/>
  <c r="D254" i="12"/>
  <c r="M276" i="12"/>
  <c r="J360" i="12"/>
  <c r="AG823" i="2" s="1"/>
  <c r="K340" i="12"/>
  <c r="I276" i="12"/>
  <c r="B254" i="12"/>
  <c r="E340" i="12"/>
  <c r="K297" i="12"/>
  <c r="AA872" i="2" s="1"/>
  <c r="H319" i="12"/>
  <c r="E297" i="12"/>
  <c r="AA866" i="2" s="1"/>
  <c r="F254" i="12"/>
  <c r="M254" i="12"/>
  <c r="D360" i="12"/>
  <c r="AG817" i="2" s="1"/>
  <c r="L297" i="12"/>
  <c r="AA873" i="2" s="1"/>
  <c r="I297" i="12"/>
  <c r="AA870" i="2" s="1"/>
  <c r="E276" i="12"/>
  <c r="L276" i="12"/>
  <c r="B360" i="12"/>
  <c r="C254" i="12"/>
  <c r="P360" i="12"/>
  <c r="AG829" i="2" s="1"/>
  <c r="P297" i="12"/>
  <c r="AA877" i="2" s="1"/>
  <c r="M340" i="12"/>
  <c r="B297" i="12"/>
  <c r="P254" i="12"/>
  <c r="B340" i="12"/>
  <c r="G360" i="12"/>
  <c r="AG820" i="2" s="1"/>
  <c r="G297" i="12"/>
  <c r="AA868" i="2" s="1"/>
  <c r="E254" i="12"/>
  <c r="H360" i="12"/>
  <c r="AG821" i="2" s="1"/>
  <c r="B319" i="12"/>
  <c r="K254" i="12"/>
  <c r="D276" i="12"/>
  <c r="I360" i="12"/>
  <c r="AG822" i="2" s="1"/>
  <c r="I319" i="12"/>
  <c r="O254" i="12"/>
  <c r="L319" i="12"/>
  <c r="I254" i="12"/>
  <c r="B276" i="12"/>
  <c r="H340" i="12"/>
  <c r="O297" i="12"/>
  <c r="AA876" i="2" s="1"/>
  <c r="H297" i="12"/>
  <c r="AA869" i="2" s="1"/>
  <c r="K319" i="12"/>
  <c r="J297" i="12"/>
  <c r="AA871" i="2" s="1"/>
  <c r="J254" i="12"/>
  <c r="D319" i="12"/>
  <c r="F360" i="12"/>
  <c r="AG819" i="2" s="1"/>
  <c r="N276" i="12"/>
  <c r="C276" i="12"/>
  <c r="C319" i="12"/>
  <c r="C297" i="12"/>
  <c r="C340" i="12"/>
  <c r="O340" i="12"/>
  <c r="Q319" i="12"/>
  <c r="Q340" i="12"/>
  <c r="Q254" i="12"/>
  <c r="Q297" i="12"/>
  <c r="AA862" i="2" s="1"/>
  <c r="Q360" i="12"/>
  <c r="AG814" i="2" s="1"/>
  <c r="Q276" i="12"/>
  <c r="J292" i="12"/>
  <c r="AA759" i="2" s="1"/>
  <c r="M292" i="12"/>
  <c r="AA762" i="2" s="1"/>
  <c r="G292" i="12"/>
  <c r="AA756" i="2" s="1"/>
  <c r="G249" i="12"/>
  <c r="F292" i="12"/>
  <c r="AA755" i="2" s="1"/>
  <c r="O249" i="12"/>
  <c r="I271" i="12"/>
  <c r="E292" i="12"/>
  <c r="AA754" i="2" s="1"/>
  <c r="G335" i="12"/>
  <c r="O314" i="12"/>
  <c r="O292" i="12"/>
  <c r="AA764" i="2" s="1"/>
  <c r="N292" i="12"/>
  <c r="AA763" i="2" s="1"/>
  <c r="P292" i="12"/>
  <c r="AA765" i="2" s="1"/>
  <c r="P271" i="12"/>
  <c r="N355" i="12"/>
  <c r="AG1004" i="2" s="1"/>
  <c r="N314" i="12"/>
  <c r="L314" i="12"/>
  <c r="J314" i="12"/>
  <c r="H314" i="12"/>
  <c r="J355" i="12"/>
  <c r="AG1000" i="2" s="1"/>
  <c r="F355" i="12"/>
  <c r="AG996" i="2" s="1"/>
  <c r="F314" i="12"/>
  <c r="D314" i="12"/>
  <c r="B314" i="12"/>
  <c r="B355" i="12"/>
  <c r="M355" i="12"/>
  <c r="AG1003" i="2" s="1"/>
  <c r="M335" i="12"/>
  <c r="K335" i="12"/>
  <c r="C355" i="12"/>
  <c r="I355" i="12"/>
  <c r="AG999" i="2" s="1"/>
  <c r="E355" i="12"/>
  <c r="AG995" i="2" s="1"/>
  <c r="E335" i="12"/>
  <c r="K314" i="12"/>
  <c r="I335" i="12"/>
  <c r="K292" i="12"/>
  <c r="AA760" i="2" s="1"/>
  <c r="I292" i="12"/>
  <c r="AA758" i="2" s="1"/>
  <c r="P355" i="12"/>
  <c r="AG1006" i="2" s="1"/>
  <c r="L355" i="12"/>
  <c r="AG1002" i="2" s="1"/>
  <c r="M314" i="12"/>
  <c r="C314" i="12"/>
  <c r="I314" i="12"/>
  <c r="O355" i="12"/>
  <c r="AG1005" i="2" s="1"/>
  <c r="N335" i="12"/>
  <c r="L335" i="12"/>
  <c r="J335" i="12"/>
  <c r="H335" i="12"/>
  <c r="B292" i="12"/>
  <c r="E314" i="12"/>
  <c r="L292" i="12"/>
  <c r="AA761" i="2" s="1"/>
  <c r="D249" i="12"/>
  <c r="L271" i="12"/>
  <c r="D355" i="12"/>
  <c r="AG994" i="2" s="1"/>
  <c r="N249" i="12"/>
  <c r="D335" i="12"/>
  <c r="G314" i="12"/>
  <c r="I249" i="12"/>
  <c r="H271" i="12"/>
  <c r="B271" i="12"/>
  <c r="K355" i="12"/>
  <c r="AG1001" i="2" s="1"/>
  <c r="M249" i="12"/>
  <c r="K271" i="12"/>
  <c r="B335" i="12"/>
  <c r="E249" i="12"/>
  <c r="K249" i="12"/>
  <c r="E271" i="12"/>
  <c r="J249" i="12"/>
  <c r="F271" i="12"/>
  <c r="O335" i="12"/>
  <c r="H355" i="12"/>
  <c r="AG998" i="2" s="1"/>
  <c r="P335" i="12"/>
  <c r="C249" i="12"/>
  <c r="M271" i="12"/>
  <c r="B249" i="12"/>
  <c r="N271" i="12"/>
  <c r="P249" i="12"/>
  <c r="G355" i="12"/>
  <c r="AG997" i="2" s="1"/>
  <c r="P314" i="12"/>
  <c r="H249" i="12"/>
  <c r="H292" i="12"/>
  <c r="AA757" i="2" s="1"/>
  <c r="G271" i="12"/>
  <c r="L249" i="12"/>
  <c r="D292" i="12"/>
  <c r="AA753" i="2" s="1"/>
  <c r="F249" i="12"/>
  <c r="O271" i="12"/>
  <c r="J271" i="12"/>
  <c r="F335" i="12"/>
  <c r="D271" i="12"/>
  <c r="C335" i="12"/>
  <c r="C271" i="12"/>
  <c r="C292" i="12"/>
  <c r="Q335" i="12"/>
  <c r="Q314" i="12"/>
  <c r="Q355" i="12"/>
  <c r="AG732" i="2" s="1"/>
  <c r="Q292" i="12"/>
  <c r="AA750" i="2" s="1"/>
  <c r="Q249" i="12"/>
  <c r="Q271" i="12"/>
  <c r="G303" i="12"/>
  <c r="AA964" i="2" s="1"/>
  <c r="F282" i="12"/>
  <c r="B303" i="12"/>
  <c r="D303" i="12"/>
  <c r="AA961" i="2" s="1"/>
  <c r="B346" i="12"/>
  <c r="G366" i="12"/>
  <c r="AG916" i="2" s="1"/>
  <c r="E366" i="12"/>
  <c r="AG914" i="2" s="1"/>
  <c r="F325" i="12"/>
  <c r="D325" i="12"/>
  <c r="B325" i="12"/>
  <c r="I303" i="12"/>
  <c r="AA966" i="2" s="1"/>
  <c r="G325" i="12"/>
  <c r="L303" i="12"/>
  <c r="AA969" i="2" s="1"/>
  <c r="I366" i="12"/>
  <c r="AG918" i="2" s="1"/>
  <c r="O346" i="12"/>
  <c r="L366" i="12"/>
  <c r="AG921" i="2" s="1"/>
  <c r="P303" i="12"/>
  <c r="AA973" i="2" s="1"/>
  <c r="N303" i="12"/>
  <c r="AA971" i="2" s="1"/>
  <c r="I325" i="12"/>
  <c r="O260" i="12"/>
  <c r="E303" i="12"/>
  <c r="AA962" i="2" s="1"/>
  <c r="N282" i="12"/>
  <c r="I346" i="12"/>
  <c r="G346" i="12"/>
  <c r="D366" i="12"/>
  <c r="AG913" i="2" s="1"/>
  <c r="H303" i="12"/>
  <c r="AA965" i="2" s="1"/>
  <c r="F303" i="12"/>
  <c r="AA963" i="2" s="1"/>
  <c r="K303" i="12"/>
  <c r="AA968" i="2" s="1"/>
  <c r="O325" i="12"/>
  <c r="P366" i="12"/>
  <c r="AG925" i="2" s="1"/>
  <c r="N366" i="12"/>
  <c r="AG923" i="2" s="1"/>
  <c r="L346" i="12"/>
  <c r="K346" i="12"/>
  <c r="C346" i="12"/>
  <c r="C303" i="12"/>
  <c r="M282" i="12"/>
  <c r="H366" i="12"/>
  <c r="AG917" i="2" s="1"/>
  <c r="F366" i="12"/>
  <c r="AG915" i="2" s="1"/>
  <c r="D346" i="12"/>
  <c r="M325" i="12"/>
  <c r="K325" i="12"/>
  <c r="K366" i="12"/>
  <c r="AG920" i="2" s="1"/>
  <c r="B366" i="12"/>
  <c r="H346" i="12"/>
  <c r="F346" i="12"/>
  <c r="M346" i="12"/>
  <c r="E346" i="12"/>
  <c r="M303" i="12"/>
  <c r="AA970" i="2" s="1"/>
  <c r="H325" i="12"/>
  <c r="N346" i="12"/>
  <c r="P325" i="12"/>
  <c r="O303" i="12"/>
  <c r="AA972" i="2" s="1"/>
  <c r="M260" i="12"/>
  <c r="I260" i="12"/>
  <c r="L282" i="12"/>
  <c r="H260" i="12"/>
  <c r="M366" i="12"/>
  <c r="AG922" i="2" s="1"/>
  <c r="E260" i="12"/>
  <c r="H282" i="12"/>
  <c r="J260" i="12"/>
  <c r="E282" i="12"/>
  <c r="C325" i="12"/>
  <c r="C366" i="12"/>
  <c r="P282" i="12"/>
  <c r="K260" i="12"/>
  <c r="B260" i="12"/>
  <c r="P260" i="12"/>
  <c r="N325" i="12"/>
  <c r="C260" i="12"/>
  <c r="P346" i="12"/>
  <c r="J366" i="12"/>
  <c r="AG919" i="2" s="1"/>
  <c r="E325" i="12"/>
  <c r="J303" i="12"/>
  <c r="AA967" i="2" s="1"/>
  <c r="N260" i="12"/>
  <c r="C282" i="12"/>
  <c r="J346" i="12"/>
  <c r="L325" i="12"/>
  <c r="G260" i="12"/>
  <c r="F260" i="12"/>
  <c r="L260" i="12"/>
  <c r="B282" i="12"/>
  <c r="K282" i="12"/>
  <c r="G282" i="12"/>
  <c r="D260" i="12"/>
  <c r="O366" i="12"/>
  <c r="AG924" i="2" s="1"/>
  <c r="J325" i="12"/>
  <c r="I282" i="12"/>
  <c r="J282" i="12"/>
  <c r="D282" i="12"/>
  <c r="O282" i="12"/>
  <c r="Q303" i="12"/>
  <c r="AA958" i="2" s="1"/>
  <c r="Q325" i="12"/>
  <c r="Q346" i="12"/>
  <c r="Q366" i="12"/>
  <c r="AG910" i="2" s="1"/>
  <c r="Q260" i="12"/>
  <c r="Q282" i="12"/>
  <c r="O295" i="12"/>
  <c r="AA844" i="2" s="1"/>
  <c r="M295" i="12"/>
  <c r="AA842" i="2" s="1"/>
  <c r="F295" i="12"/>
  <c r="AA835" i="2" s="1"/>
  <c r="E295" i="12"/>
  <c r="AA834" i="2" s="1"/>
  <c r="O252" i="12"/>
  <c r="N295" i="12"/>
  <c r="AA843" i="2" s="1"/>
  <c r="G295" i="12"/>
  <c r="AA836" i="2" s="1"/>
  <c r="I358" i="12"/>
  <c r="AG790" i="2" s="1"/>
  <c r="M358" i="12"/>
  <c r="AG794" i="2" s="1"/>
  <c r="N317" i="12"/>
  <c r="D317" i="12"/>
  <c r="F338" i="12"/>
  <c r="I338" i="12"/>
  <c r="E358" i="12"/>
  <c r="AG786" i="2" s="1"/>
  <c r="F317" i="12"/>
  <c r="H338" i="12"/>
  <c r="I317" i="12"/>
  <c r="B295" i="12"/>
  <c r="O317" i="12"/>
  <c r="P358" i="12"/>
  <c r="AG797" i="2" s="1"/>
  <c r="L358" i="12"/>
  <c r="AG793" i="2" s="1"/>
  <c r="K338" i="12"/>
  <c r="K317" i="12"/>
  <c r="K358" i="12"/>
  <c r="AG792" i="2" s="1"/>
  <c r="J295" i="12"/>
  <c r="AA839" i="2" s="1"/>
  <c r="H358" i="12"/>
  <c r="AG789" i="2" s="1"/>
  <c r="D358" i="12"/>
  <c r="AG785" i="2" s="1"/>
  <c r="B338" i="12"/>
  <c r="P338" i="12"/>
  <c r="E338" i="12"/>
  <c r="O358" i="12"/>
  <c r="AG796" i="2" s="1"/>
  <c r="C358" i="12"/>
  <c r="M317" i="12"/>
  <c r="G338" i="12"/>
  <c r="P317" i="12"/>
  <c r="J358" i="12"/>
  <c r="AG791" i="2" s="1"/>
  <c r="N358" i="12"/>
  <c r="AG795" i="2" s="1"/>
  <c r="D338" i="12"/>
  <c r="J338" i="12"/>
  <c r="B317" i="12"/>
  <c r="P295" i="12"/>
  <c r="AA845" i="2" s="1"/>
  <c r="E317" i="12"/>
  <c r="H295" i="12"/>
  <c r="AA837" i="2" s="1"/>
  <c r="N252" i="12"/>
  <c r="L317" i="12"/>
  <c r="K295" i="12"/>
  <c r="AA840" i="2" s="1"/>
  <c r="F252" i="12"/>
  <c r="L252" i="12"/>
  <c r="B274" i="12"/>
  <c r="K274" i="12"/>
  <c r="M274" i="12"/>
  <c r="J317" i="12"/>
  <c r="D252" i="12"/>
  <c r="J274" i="12"/>
  <c r="M338" i="12"/>
  <c r="H274" i="12"/>
  <c r="C252" i="12"/>
  <c r="B358" i="12"/>
  <c r="O338" i="12"/>
  <c r="I295" i="12"/>
  <c r="AA838" i="2" s="1"/>
  <c r="G274" i="12"/>
  <c r="N274" i="12"/>
  <c r="L295" i="12"/>
  <c r="AA841" i="2" s="1"/>
  <c r="G358" i="12"/>
  <c r="AG788" i="2" s="1"/>
  <c r="H317" i="12"/>
  <c r="O274" i="12"/>
  <c r="M252" i="12"/>
  <c r="I274" i="12"/>
  <c r="D274" i="12"/>
  <c r="E274" i="12"/>
  <c r="F358" i="12"/>
  <c r="AG787" i="2" s="1"/>
  <c r="G252" i="12"/>
  <c r="G317" i="12"/>
  <c r="D295" i="12"/>
  <c r="AA833" i="2" s="1"/>
  <c r="E252" i="12"/>
  <c r="K252" i="12"/>
  <c r="J252" i="12"/>
  <c r="L274" i="12"/>
  <c r="L338" i="12"/>
  <c r="I252" i="12"/>
  <c r="F274" i="12"/>
  <c r="P274" i="12"/>
  <c r="P252" i="12"/>
  <c r="B252" i="12"/>
  <c r="H252" i="12"/>
  <c r="C274" i="12"/>
  <c r="C317" i="12"/>
  <c r="C295" i="12"/>
  <c r="C338" i="12"/>
  <c r="N338" i="12"/>
  <c r="Q252" i="12"/>
  <c r="Q338" i="12"/>
  <c r="Q295" i="12"/>
  <c r="AA830" i="2" s="1"/>
  <c r="Q317" i="12"/>
  <c r="Q358" i="12"/>
  <c r="AG782" i="2" s="1"/>
  <c r="Q274" i="12"/>
  <c r="U119" i="5"/>
  <c r="W108" i="5"/>
  <c r="O939" i="2"/>
  <c r="U954" i="2" s="1"/>
  <c r="D78" i="19"/>
  <c r="O940" i="2"/>
  <c r="U955" i="2" s="1"/>
  <c r="O941" i="2"/>
  <c r="U956" i="2" s="1"/>
  <c r="O937" i="2"/>
  <c r="U952" i="2" s="1"/>
  <c r="O942" i="2"/>
  <c r="U957" i="2" s="1"/>
  <c r="O943" i="2"/>
  <c r="U958" i="2" s="1"/>
  <c r="O936" i="2"/>
  <c r="U951" i="2" s="1"/>
  <c r="O944" i="2"/>
  <c r="U959" i="2" s="1"/>
  <c r="F79" i="11"/>
  <c r="O586" i="2" s="1"/>
  <c r="O938" i="2"/>
  <c r="U953" i="2" s="1"/>
  <c r="W105" i="5"/>
  <c r="B106" i="19"/>
  <c r="U67" i="8"/>
  <c r="G101" i="19" s="1"/>
  <c r="S119" i="5"/>
  <c r="I304" i="12"/>
  <c r="AA982" i="2" s="1"/>
  <c r="O326" i="12"/>
  <c r="B304" i="12"/>
  <c r="B367" i="12"/>
  <c r="O367" i="12"/>
  <c r="AG940" i="2" s="1"/>
  <c r="M367" i="12"/>
  <c r="AG938" i="2" s="1"/>
  <c r="C347" i="12"/>
  <c r="G304" i="12"/>
  <c r="AA980" i="2" s="1"/>
  <c r="E304" i="12"/>
  <c r="AA978" i="2" s="1"/>
  <c r="K304" i="12"/>
  <c r="AA984" i="2" s="1"/>
  <c r="J304" i="12"/>
  <c r="AA983" i="2" s="1"/>
  <c r="J347" i="12"/>
  <c r="G367" i="12"/>
  <c r="AG932" i="2" s="1"/>
  <c r="E367" i="12"/>
  <c r="AG930" i="2" s="1"/>
  <c r="N326" i="12"/>
  <c r="L326" i="12"/>
  <c r="K367" i="12"/>
  <c r="AG936" i="2" s="1"/>
  <c r="C304" i="12"/>
  <c r="E283" i="12"/>
  <c r="B347" i="12"/>
  <c r="O347" i="12"/>
  <c r="M347" i="12"/>
  <c r="F326" i="12"/>
  <c r="D326" i="12"/>
  <c r="J326" i="12"/>
  <c r="K347" i="12"/>
  <c r="I367" i="12"/>
  <c r="AG934" i="2" s="1"/>
  <c r="G347" i="12"/>
  <c r="E347" i="12"/>
  <c r="P304" i="12"/>
  <c r="AA989" i="2" s="1"/>
  <c r="N304" i="12"/>
  <c r="AA987" i="2" s="1"/>
  <c r="B326" i="12"/>
  <c r="H326" i="12"/>
  <c r="I347" i="12"/>
  <c r="N367" i="12"/>
  <c r="AG939" i="2" s="1"/>
  <c r="L367" i="12"/>
  <c r="AG937" i="2" s="1"/>
  <c r="H304" i="12"/>
  <c r="AA981" i="2" s="1"/>
  <c r="F304" i="12"/>
  <c r="AA979" i="2" s="1"/>
  <c r="L304" i="12"/>
  <c r="AA985" i="2" s="1"/>
  <c r="M283" i="12"/>
  <c r="H367" i="12"/>
  <c r="AG933" i="2" s="1"/>
  <c r="N347" i="12"/>
  <c r="L347" i="12"/>
  <c r="E326" i="12"/>
  <c r="C326" i="12"/>
  <c r="C367" i="12"/>
  <c r="F367" i="12"/>
  <c r="AG931" i="2" s="1"/>
  <c r="D304" i="12"/>
  <c r="AA977" i="2" s="1"/>
  <c r="P261" i="12"/>
  <c r="I283" i="12"/>
  <c r="G283" i="12"/>
  <c r="O261" i="12"/>
  <c r="F347" i="12"/>
  <c r="I326" i="12"/>
  <c r="K283" i="12"/>
  <c r="C261" i="12"/>
  <c r="E261" i="12"/>
  <c r="D283" i="12"/>
  <c r="D367" i="12"/>
  <c r="AG929" i="2" s="1"/>
  <c r="C283" i="12"/>
  <c r="K261" i="12"/>
  <c r="M261" i="12"/>
  <c r="G261" i="12"/>
  <c r="L261" i="12"/>
  <c r="D347" i="12"/>
  <c r="G326" i="12"/>
  <c r="I261" i="12"/>
  <c r="P283" i="12"/>
  <c r="N283" i="12"/>
  <c r="K326" i="12"/>
  <c r="N261" i="12"/>
  <c r="M326" i="12"/>
  <c r="J283" i="12"/>
  <c r="H283" i="12"/>
  <c r="F283" i="12"/>
  <c r="J367" i="12"/>
  <c r="AG935" i="2" s="1"/>
  <c r="O304" i="12"/>
  <c r="AA988" i="2" s="1"/>
  <c r="L283" i="12"/>
  <c r="B283" i="12"/>
  <c r="D261" i="12"/>
  <c r="F261" i="12"/>
  <c r="P367" i="12"/>
  <c r="AG941" i="2" s="1"/>
  <c r="B261" i="12"/>
  <c r="H347" i="12"/>
  <c r="M304" i="12"/>
  <c r="AA986" i="2" s="1"/>
  <c r="H261" i="12"/>
  <c r="J261" i="12"/>
  <c r="O283" i="12"/>
  <c r="P326" i="12"/>
  <c r="P347" i="12"/>
  <c r="Q347" i="12"/>
  <c r="Q304" i="12"/>
  <c r="AA974" i="2" s="1"/>
  <c r="Q283" i="12"/>
  <c r="Q261" i="12"/>
  <c r="Q326" i="12"/>
  <c r="Q367" i="12"/>
  <c r="AG926" i="2" s="1"/>
  <c r="N119" i="5"/>
  <c r="W115" i="5"/>
  <c r="W109" i="5"/>
  <c r="B111" i="19"/>
  <c r="B99" i="19"/>
  <c r="O741" i="2"/>
  <c r="O746" i="2"/>
  <c r="U66" i="8"/>
  <c r="G100" i="19" s="1"/>
  <c r="F92" i="11"/>
  <c r="V67" i="8"/>
  <c r="H101" i="19" s="1"/>
  <c r="M119" i="5"/>
  <c r="O318" i="12"/>
  <c r="E296" i="12"/>
  <c r="AA850" i="2" s="1"/>
  <c r="N296" i="12"/>
  <c r="AA859" i="2" s="1"/>
  <c r="M275" i="12"/>
  <c r="M296" i="12"/>
  <c r="AA858" i="2" s="1"/>
  <c r="F296" i="12"/>
  <c r="AA851" i="2" s="1"/>
  <c r="B359" i="12"/>
  <c r="F359" i="12"/>
  <c r="AG803" i="2" s="1"/>
  <c r="N318" i="12"/>
  <c r="D318" i="12"/>
  <c r="C359" i="12"/>
  <c r="P296" i="12"/>
  <c r="AA861" i="2" s="1"/>
  <c r="I296" i="12"/>
  <c r="AA854" i="2" s="1"/>
  <c r="K296" i="12"/>
  <c r="AA856" i="2" s="1"/>
  <c r="I359" i="12"/>
  <c r="AG806" i="2" s="1"/>
  <c r="M359" i="12"/>
  <c r="AG810" i="2" s="1"/>
  <c r="F318" i="12"/>
  <c r="K339" i="12"/>
  <c r="H339" i="12"/>
  <c r="G296" i="12"/>
  <c r="AA852" i="2" s="1"/>
  <c r="I339" i="12"/>
  <c r="E359" i="12"/>
  <c r="AG802" i="2" s="1"/>
  <c r="M339" i="12"/>
  <c r="B339" i="12"/>
  <c r="I318" i="12"/>
  <c r="O296" i="12"/>
  <c r="AA860" i="2" s="1"/>
  <c r="P359" i="12"/>
  <c r="AG813" i="2" s="1"/>
  <c r="L359" i="12"/>
  <c r="AG809" i="2" s="1"/>
  <c r="D339" i="12"/>
  <c r="K318" i="12"/>
  <c r="P339" i="12"/>
  <c r="B296" i="12"/>
  <c r="H359" i="12"/>
  <c r="AG805" i="2" s="1"/>
  <c r="D359" i="12"/>
  <c r="AG801" i="2" s="1"/>
  <c r="M318" i="12"/>
  <c r="K359" i="12"/>
  <c r="AG808" i="2" s="1"/>
  <c r="G339" i="12"/>
  <c r="J296" i="12"/>
  <c r="AA855" i="2" s="1"/>
  <c r="G359" i="12"/>
  <c r="AG804" i="2" s="1"/>
  <c r="N339" i="12"/>
  <c r="L339" i="12"/>
  <c r="J318" i="12"/>
  <c r="H318" i="12"/>
  <c r="O359" i="12"/>
  <c r="AG812" i="2" s="1"/>
  <c r="P318" i="12"/>
  <c r="L296" i="12"/>
  <c r="AA857" i="2" s="1"/>
  <c r="D275" i="12"/>
  <c r="J253" i="12"/>
  <c r="O275" i="12"/>
  <c r="B275" i="12"/>
  <c r="N359" i="12"/>
  <c r="AG811" i="2" s="1"/>
  <c r="H296" i="12"/>
  <c r="AA853" i="2" s="1"/>
  <c r="E275" i="12"/>
  <c r="H253" i="12"/>
  <c r="I275" i="12"/>
  <c r="G275" i="12"/>
  <c r="O253" i="12"/>
  <c r="D253" i="12"/>
  <c r="F339" i="12"/>
  <c r="G318" i="12"/>
  <c r="P253" i="12"/>
  <c r="C253" i="12"/>
  <c r="E253" i="12"/>
  <c r="F253" i="12"/>
  <c r="E339" i="12"/>
  <c r="K275" i="12"/>
  <c r="K253" i="12"/>
  <c r="M253" i="12"/>
  <c r="G253" i="12"/>
  <c r="J339" i="12"/>
  <c r="E318" i="12"/>
  <c r="I253" i="12"/>
  <c r="P275" i="12"/>
  <c r="N275" i="12"/>
  <c r="L318" i="12"/>
  <c r="J275" i="12"/>
  <c r="H275" i="12"/>
  <c r="F275" i="12"/>
  <c r="J359" i="12"/>
  <c r="AG807" i="2" s="1"/>
  <c r="B318" i="12"/>
  <c r="D296" i="12"/>
  <c r="AA849" i="2" s="1"/>
  <c r="N253" i="12"/>
  <c r="L275" i="12"/>
  <c r="B253" i="12"/>
  <c r="L253" i="12"/>
  <c r="C318" i="12"/>
  <c r="C275" i="12"/>
  <c r="C296" i="12"/>
  <c r="C339" i="12"/>
  <c r="O339" i="12"/>
  <c r="Q318" i="12"/>
  <c r="Q339" i="12"/>
  <c r="Q253" i="12"/>
  <c r="Q296" i="12"/>
  <c r="AA846" i="2" s="1"/>
  <c r="Q359" i="12"/>
  <c r="AG798" i="2" s="1"/>
  <c r="Q275" i="12"/>
  <c r="G324" i="12"/>
  <c r="H302" i="12"/>
  <c r="AA949" i="2" s="1"/>
  <c r="O281" i="12"/>
  <c r="G281" i="12"/>
  <c r="G259" i="12"/>
  <c r="O259" i="12"/>
  <c r="I302" i="12"/>
  <c r="AA950" i="2" s="1"/>
  <c r="J365" i="12"/>
  <c r="AG903" i="2" s="1"/>
  <c r="G365" i="12"/>
  <c r="AG900" i="2" s="1"/>
  <c r="K345" i="12"/>
  <c r="M324" i="12"/>
  <c r="K324" i="12"/>
  <c r="I324" i="12"/>
  <c r="J302" i="12"/>
  <c r="AA951" i="2" s="1"/>
  <c r="B365" i="12"/>
  <c r="N365" i="12"/>
  <c r="AG907" i="2" s="1"/>
  <c r="B345" i="12"/>
  <c r="E324" i="12"/>
  <c r="C324" i="12"/>
  <c r="K302" i="12"/>
  <c r="AA952" i="2" s="1"/>
  <c r="I365" i="12"/>
  <c r="AG902" i="2" s="1"/>
  <c r="F365" i="12"/>
  <c r="AG899" i="2" s="1"/>
  <c r="K365" i="12"/>
  <c r="AG904" i="2" s="1"/>
  <c r="G345" i="12"/>
  <c r="O345" i="12"/>
  <c r="C302" i="12"/>
  <c r="I345" i="12"/>
  <c r="M365" i="12"/>
  <c r="AG906" i="2" s="1"/>
  <c r="J345" i="12"/>
  <c r="L324" i="12"/>
  <c r="E345" i="12"/>
  <c r="M345" i="12"/>
  <c r="D302" i="12"/>
  <c r="AA945" i="2" s="1"/>
  <c r="P365" i="12"/>
  <c r="AG909" i="2" s="1"/>
  <c r="E365" i="12"/>
  <c r="AG898" i="2" s="1"/>
  <c r="N324" i="12"/>
  <c r="D324" i="12"/>
  <c r="J324" i="12"/>
  <c r="C345" i="12"/>
  <c r="O324" i="12"/>
  <c r="O302" i="12"/>
  <c r="AA956" i="2" s="1"/>
  <c r="P345" i="12"/>
  <c r="D365" i="12"/>
  <c r="AG897" i="2" s="1"/>
  <c r="C365" i="12"/>
  <c r="F302" i="12"/>
  <c r="AA947" i="2" s="1"/>
  <c r="N345" i="12"/>
  <c r="H324" i="12"/>
  <c r="B302" i="12"/>
  <c r="E302" i="12"/>
  <c r="AA946" i="2" s="1"/>
  <c r="N302" i="12"/>
  <c r="AA955" i="2" s="1"/>
  <c r="I281" i="12"/>
  <c r="D259" i="12"/>
  <c r="F281" i="12"/>
  <c r="N281" i="12"/>
  <c r="F345" i="12"/>
  <c r="I259" i="12"/>
  <c r="H365" i="12"/>
  <c r="AG901" i="2" s="1"/>
  <c r="B324" i="12"/>
  <c r="M259" i="12"/>
  <c r="D281" i="12"/>
  <c r="L302" i="12"/>
  <c r="AA953" i="2" s="1"/>
  <c r="O365" i="12"/>
  <c r="AG908" i="2" s="1"/>
  <c r="D345" i="12"/>
  <c r="P302" i="12"/>
  <c r="AA957" i="2" s="1"/>
  <c r="E259" i="12"/>
  <c r="C281" i="12"/>
  <c r="J259" i="12"/>
  <c r="L281" i="12"/>
  <c r="L365" i="12"/>
  <c r="AG905" i="2" s="1"/>
  <c r="P324" i="12"/>
  <c r="H281" i="12"/>
  <c r="K259" i="12"/>
  <c r="K281" i="12"/>
  <c r="B259" i="12"/>
  <c r="P259" i="12"/>
  <c r="E281" i="12"/>
  <c r="L345" i="12"/>
  <c r="M302" i="12"/>
  <c r="AA954" i="2" s="1"/>
  <c r="P281" i="12"/>
  <c r="B281" i="12"/>
  <c r="C259" i="12"/>
  <c r="H259" i="12"/>
  <c r="F324" i="12"/>
  <c r="N259" i="12"/>
  <c r="J281" i="12"/>
  <c r="H345" i="12"/>
  <c r="G302" i="12"/>
  <c r="AA948" i="2" s="1"/>
  <c r="F259" i="12"/>
  <c r="M281" i="12"/>
  <c r="L259" i="12"/>
  <c r="Q324" i="12"/>
  <c r="Q345" i="12"/>
  <c r="Q365" i="12"/>
  <c r="AG894" i="2" s="1"/>
  <c r="Q259" i="12"/>
  <c r="Q302" i="12"/>
  <c r="AA942" i="2" s="1"/>
  <c r="Q281" i="12"/>
  <c r="W114" i="5"/>
  <c r="W104" i="5"/>
  <c r="K263" i="12"/>
  <c r="P369" i="12"/>
  <c r="AG973" i="2" s="1"/>
  <c r="B349" i="12"/>
  <c r="P349" i="12"/>
  <c r="F328" i="12"/>
  <c r="N263" i="12"/>
  <c r="C306" i="12"/>
  <c r="G263" i="12"/>
  <c r="O328" i="12"/>
  <c r="C369" i="12"/>
  <c r="O349" i="12"/>
  <c r="D263" i="12"/>
  <c r="P306" i="12"/>
  <c r="AA1021" i="2" s="1"/>
  <c r="B285" i="12"/>
  <c r="L328" i="12"/>
  <c r="H369" i="12"/>
  <c r="AG965" i="2" s="1"/>
  <c r="P263" i="12"/>
  <c r="M306" i="12"/>
  <c r="AA1018" i="2" s="1"/>
  <c r="I349" i="12"/>
  <c r="O285" i="12"/>
  <c r="H349" i="12"/>
  <c r="J369" i="12"/>
  <c r="AG967" i="2" s="1"/>
  <c r="F263" i="12"/>
  <c r="D285" i="12"/>
  <c r="J285" i="12"/>
  <c r="G328" i="12"/>
  <c r="O306" i="12"/>
  <c r="AA1020" i="2" s="1"/>
  <c r="D349" i="12"/>
  <c r="M285" i="12"/>
  <c r="B369" i="12"/>
  <c r="F306" i="12"/>
  <c r="AA1011" i="2" s="1"/>
  <c r="K306" i="12"/>
  <c r="AA1016" i="2" s="1"/>
  <c r="K285" i="12"/>
  <c r="K349" i="12"/>
  <c r="D328" i="12"/>
  <c r="H263" i="12"/>
  <c r="E306" i="12"/>
  <c r="AA1010" i="2" s="1"/>
  <c r="J263" i="12"/>
  <c r="B328" i="12"/>
  <c r="M369" i="12"/>
  <c r="AG970" i="2" s="1"/>
  <c r="I285" i="12"/>
  <c r="D306" i="12"/>
  <c r="AA1009" i="2" s="1"/>
  <c r="N349" i="12"/>
  <c r="B306" i="12"/>
  <c r="I369" i="12"/>
  <c r="AG966" i="2" s="1"/>
  <c r="E285" i="12"/>
  <c r="D369" i="12"/>
  <c r="AG961" i="2" s="1"/>
  <c r="L349" i="12"/>
  <c r="C263" i="12"/>
  <c r="H285" i="12"/>
  <c r="I328" i="12"/>
  <c r="E369" i="12"/>
  <c r="AG962" i="2" s="1"/>
  <c r="M328" i="12"/>
  <c r="M263" i="12"/>
  <c r="J306" i="12"/>
  <c r="AA1015" i="2" s="1"/>
  <c r="F349" i="12"/>
  <c r="P285" i="12"/>
  <c r="C285" i="12"/>
  <c r="F285" i="12"/>
  <c r="C328" i="12"/>
  <c r="G306" i="12"/>
  <c r="AA1012" i="2" s="1"/>
  <c r="L369" i="12"/>
  <c r="AG969" i="2" s="1"/>
  <c r="N306" i="12"/>
  <c r="AA1019" i="2" s="1"/>
  <c r="L306" i="12"/>
  <c r="AA1017" i="2" s="1"/>
  <c r="I263" i="12"/>
  <c r="O369" i="12"/>
  <c r="AG972" i="2" s="1"/>
  <c r="N369" i="12"/>
  <c r="AG971" i="2" s="1"/>
  <c r="B263" i="12"/>
  <c r="L285" i="12"/>
  <c r="C349" i="12"/>
  <c r="E263" i="12"/>
  <c r="M349" i="12"/>
  <c r="K369" i="12"/>
  <c r="AG968" i="2" s="1"/>
  <c r="P328" i="12"/>
  <c r="G349" i="12"/>
  <c r="G285" i="12"/>
  <c r="J349" i="12"/>
  <c r="N285" i="12"/>
  <c r="K328" i="12"/>
  <c r="G369" i="12"/>
  <c r="AG964" i="2" s="1"/>
  <c r="N328" i="12"/>
  <c r="J328" i="12"/>
  <c r="F369" i="12"/>
  <c r="AG963" i="2" s="1"/>
  <c r="O263" i="12"/>
  <c r="H306" i="12"/>
  <c r="AA1013" i="2" s="1"/>
  <c r="E328" i="12"/>
  <c r="L263" i="12"/>
  <c r="I306" i="12"/>
  <c r="AA1014" i="2" s="1"/>
  <c r="E349" i="12"/>
  <c r="H328" i="12"/>
  <c r="Q263" i="12"/>
  <c r="Q369" i="12"/>
  <c r="AG958" i="2" s="1"/>
  <c r="Q328" i="12"/>
  <c r="Q349" i="12"/>
  <c r="Q285" i="12"/>
  <c r="Q306" i="12"/>
  <c r="AA1006" i="2" s="1"/>
  <c r="W112" i="5"/>
  <c r="B114" i="19"/>
  <c r="B113" i="19"/>
  <c r="B103" i="19"/>
  <c r="O742" i="2"/>
  <c r="D99" i="19"/>
  <c r="B109" i="19"/>
  <c r="B102" i="19"/>
  <c r="O745" i="2"/>
  <c r="O749" i="2"/>
  <c r="C99" i="19"/>
  <c r="B101" i="19"/>
  <c r="B112" i="19"/>
  <c r="E77" i="19"/>
  <c r="O743" i="2"/>
  <c r="O747" i="2"/>
  <c r="B100" i="19"/>
  <c r="F94" i="11"/>
  <c r="H89" i="11"/>
  <c r="T67" i="8"/>
  <c r="F101" i="19" s="1"/>
  <c r="W118" i="5"/>
  <c r="Q119" i="5"/>
  <c r="W117" i="5"/>
  <c r="B108" i="19"/>
  <c r="K64" i="8"/>
  <c r="D76" i="19" s="1"/>
  <c r="B222" i="12"/>
  <c r="B104" i="19"/>
  <c r="B107" i="19"/>
  <c r="H94" i="11"/>
  <c r="H92" i="11"/>
  <c r="W116" i="5"/>
  <c r="O313" i="12"/>
  <c r="F291" i="12"/>
  <c r="AA803" i="2" s="1"/>
  <c r="O248" i="12"/>
  <c r="E291" i="12"/>
  <c r="AA802" i="2" s="1"/>
  <c r="O291" i="12"/>
  <c r="AA812" i="2" s="1"/>
  <c r="N291" i="12"/>
  <c r="AA811" i="2" s="1"/>
  <c r="M291" i="12"/>
  <c r="AA810" i="2" s="1"/>
  <c r="G248" i="12"/>
  <c r="O334" i="12"/>
  <c r="G291" i="12"/>
  <c r="AA804" i="2" s="1"/>
  <c r="G354" i="12"/>
  <c r="AG756" i="2" s="1"/>
  <c r="N334" i="12"/>
  <c r="L334" i="12"/>
  <c r="C291" i="12"/>
  <c r="I270" i="12"/>
  <c r="K291" i="12"/>
  <c r="AA808" i="2" s="1"/>
  <c r="J354" i="12"/>
  <c r="AG759" i="2" s="1"/>
  <c r="I291" i="12"/>
  <c r="AA806" i="2" s="1"/>
  <c r="B291" i="12"/>
  <c r="B354" i="12"/>
  <c r="J291" i="12"/>
  <c r="AA807" i="2" s="1"/>
  <c r="B270" i="12"/>
  <c r="I354" i="12"/>
  <c r="AG758" i="2" s="1"/>
  <c r="E354" i="12"/>
  <c r="AG754" i="2" s="1"/>
  <c r="M334" i="12"/>
  <c r="P291" i="12"/>
  <c r="AA813" i="2" s="1"/>
  <c r="G313" i="12"/>
  <c r="F354" i="12"/>
  <c r="AG755" i="2" s="1"/>
  <c r="E334" i="12"/>
  <c r="K313" i="12"/>
  <c r="K354" i="12"/>
  <c r="AG760" i="2" s="1"/>
  <c r="J270" i="12"/>
  <c r="N248" i="12"/>
  <c r="D270" i="12"/>
  <c r="K334" i="12"/>
  <c r="M354" i="12"/>
  <c r="AG762" i="2" s="1"/>
  <c r="M313" i="12"/>
  <c r="C313" i="12"/>
  <c r="P334" i="12"/>
  <c r="F248" i="12"/>
  <c r="L270" i="12"/>
  <c r="L248" i="12"/>
  <c r="F270" i="12"/>
  <c r="G270" i="12"/>
  <c r="I334" i="12"/>
  <c r="L354" i="12"/>
  <c r="AG761" i="2" s="1"/>
  <c r="E313" i="12"/>
  <c r="J334" i="12"/>
  <c r="H334" i="12"/>
  <c r="D248" i="12"/>
  <c r="N270" i="12"/>
  <c r="O270" i="12"/>
  <c r="I248" i="12"/>
  <c r="O354" i="12"/>
  <c r="AG764" i="2" s="1"/>
  <c r="M270" i="12"/>
  <c r="D354" i="12"/>
  <c r="AG753" i="2" s="1"/>
  <c r="D334" i="12"/>
  <c r="B334" i="12"/>
  <c r="P313" i="12"/>
  <c r="N313" i="12"/>
  <c r="P354" i="12"/>
  <c r="AG765" i="2" s="1"/>
  <c r="C354" i="12"/>
  <c r="L313" i="12"/>
  <c r="J313" i="12"/>
  <c r="H313" i="12"/>
  <c r="G334" i="12"/>
  <c r="C270" i="12"/>
  <c r="M248" i="12"/>
  <c r="H270" i="12"/>
  <c r="H354" i="12"/>
  <c r="AG757" i="2" s="1"/>
  <c r="F334" i="12"/>
  <c r="D313" i="12"/>
  <c r="B313" i="12"/>
  <c r="D291" i="12"/>
  <c r="AA801" i="2" s="1"/>
  <c r="K270" i="12"/>
  <c r="E248" i="12"/>
  <c r="E270" i="12"/>
  <c r="K248" i="12"/>
  <c r="J248" i="12"/>
  <c r="P270" i="12"/>
  <c r="H291" i="12"/>
  <c r="AA805" i="2" s="1"/>
  <c r="L291" i="12"/>
  <c r="AA809" i="2" s="1"/>
  <c r="B248" i="12"/>
  <c r="N354" i="12"/>
  <c r="AG763" i="2" s="1"/>
  <c r="I313" i="12"/>
  <c r="F313" i="12"/>
  <c r="H248" i="12"/>
  <c r="C334" i="12"/>
  <c r="C248" i="12"/>
  <c r="P248" i="12"/>
  <c r="Q313" i="12"/>
  <c r="Q334" i="12"/>
  <c r="Q270" i="12"/>
  <c r="Q248" i="12"/>
  <c r="Q354" i="12"/>
  <c r="AG750" i="2" s="1"/>
  <c r="Q291" i="12"/>
  <c r="AA798" i="2" s="1"/>
  <c r="W107" i="5"/>
  <c r="M299" i="12"/>
  <c r="AA906" i="2" s="1"/>
  <c r="O299" i="12"/>
  <c r="AA908" i="2" s="1"/>
  <c r="G299" i="12"/>
  <c r="AA900" i="2" s="1"/>
  <c r="F299" i="12"/>
  <c r="AA899" i="2" s="1"/>
  <c r="P299" i="12"/>
  <c r="AA909" i="2" s="1"/>
  <c r="J278" i="12"/>
  <c r="L299" i="12"/>
  <c r="AA905" i="2" s="1"/>
  <c r="C299" i="12"/>
  <c r="B278" i="12"/>
  <c r="J299" i="12"/>
  <c r="AA903" i="2" s="1"/>
  <c r="O256" i="12"/>
  <c r="I299" i="12"/>
  <c r="AA902" i="2" s="1"/>
  <c r="D299" i="12"/>
  <c r="AA897" i="2" s="1"/>
  <c r="I278" i="12"/>
  <c r="K278" i="12"/>
  <c r="M256" i="12"/>
  <c r="M278" i="12"/>
  <c r="P278" i="12"/>
  <c r="D256" i="12"/>
  <c r="E256" i="12"/>
  <c r="J256" i="12"/>
  <c r="H299" i="12"/>
  <c r="AA901" i="2" s="1"/>
  <c r="D278" i="12"/>
  <c r="K256" i="12"/>
  <c r="B256" i="12"/>
  <c r="P256" i="12"/>
  <c r="H256" i="12"/>
  <c r="G256" i="12"/>
  <c r="B299" i="12"/>
  <c r="K299" i="12"/>
  <c r="AA904" i="2" s="1"/>
  <c r="E299" i="12"/>
  <c r="AA898" i="2" s="1"/>
  <c r="L278" i="12"/>
  <c r="C256" i="12"/>
  <c r="N299" i="12"/>
  <c r="AA907" i="2" s="1"/>
  <c r="N256" i="12"/>
  <c r="G278" i="12"/>
  <c r="I256" i="12"/>
  <c r="F256" i="12"/>
  <c r="L256" i="12"/>
  <c r="F278" i="12"/>
  <c r="O278" i="12"/>
  <c r="E278" i="12"/>
  <c r="N278" i="12"/>
  <c r="H278" i="12"/>
  <c r="C278" i="12"/>
  <c r="N362" i="12"/>
  <c r="AG859" i="2" s="1"/>
  <c r="P321" i="12"/>
  <c r="C342" i="12"/>
  <c r="E362" i="12"/>
  <c r="AG850" i="2" s="1"/>
  <c r="K321" i="12"/>
  <c r="F362" i="12"/>
  <c r="AG851" i="2" s="1"/>
  <c r="B321" i="12"/>
  <c r="I362" i="12"/>
  <c r="AG854" i="2" s="1"/>
  <c r="N342" i="12"/>
  <c r="J362" i="12"/>
  <c r="AG855" i="2" s="1"/>
  <c r="L362" i="12"/>
  <c r="AG857" i="2" s="1"/>
  <c r="J321" i="12"/>
  <c r="F342" i="12"/>
  <c r="I321" i="12"/>
  <c r="D362" i="12"/>
  <c r="AG849" i="2" s="1"/>
  <c r="E342" i="12"/>
  <c r="M362" i="12"/>
  <c r="AG858" i="2" s="1"/>
  <c r="L342" i="12"/>
  <c r="I342" i="12"/>
  <c r="N321" i="12"/>
  <c r="P342" i="12"/>
  <c r="K342" i="12"/>
  <c r="B342" i="12"/>
  <c r="F321" i="12"/>
  <c r="O342" i="12"/>
  <c r="P362" i="12"/>
  <c r="AG861" i="2" s="1"/>
  <c r="M321" i="12"/>
  <c r="H342" i="12"/>
  <c r="D321" i="12"/>
  <c r="K362" i="12"/>
  <c r="AG856" i="2" s="1"/>
  <c r="G342" i="12"/>
  <c r="E321" i="12"/>
  <c r="J342" i="12"/>
  <c r="O321" i="12"/>
  <c r="H362" i="12"/>
  <c r="AG853" i="2" s="1"/>
  <c r="D342" i="12"/>
  <c r="O362" i="12"/>
  <c r="AG860" i="2" s="1"/>
  <c r="H321" i="12"/>
  <c r="G321" i="12"/>
  <c r="C362" i="12"/>
  <c r="B362" i="12"/>
  <c r="L321" i="12"/>
  <c r="G362" i="12"/>
  <c r="AG852" i="2" s="1"/>
  <c r="M342" i="12"/>
  <c r="C321" i="12"/>
  <c r="Q321" i="12"/>
  <c r="Q342" i="12"/>
  <c r="Q299" i="12"/>
  <c r="AA894" i="2" s="1"/>
  <c r="Q362" i="12"/>
  <c r="AG846" i="2" s="1"/>
  <c r="Q256" i="12"/>
  <c r="Q278" i="12"/>
  <c r="W111" i="5"/>
  <c r="B110" i="19"/>
  <c r="B105" i="19"/>
  <c r="O744" i="2"/>
  <c r="O748" i="2"/>
  <c r="E99" i="19"/>
  <c r="H91" i="11"/>
  <c r="D100" i="19"/>
  <c r="F89" i="11"/>
  <c r="F86" i="11"/>
  <c r="O582" i="2" s="1"/>
  <c r="U208" i="2" s="1"/>
  <c r="T66" i="8"/>
  <c r="F100" i="19" s="1"/>
  <c r="J293" i="12"/>
  <c r="AA775" i="2" s="1"/>
  <c r="O293" i="12"/>
  <c r="AA780" i="2" s="1"/>
  <c r="N293" i="12"/>
  <c r="AA779" i="2" s="1"/>
  <c r="M293" i="12"/>
  <c r="AA778" i="2" s="1"/>
  <c r="G315" i="12"/>
  <c r="G293" i="12"/>
  <c r="AA772" i="2" s="1"/>
  <c r="F293" i="12"/>
  <c r="AA771" i="2" s="1"/>
  <c r="P272" i="12"/>
  <c r="E293" i="12"/>
  <c r="AA770" i="2" s="1"/>
  <c r="H272" i="12"/>
  <c r="I336" i="12"/>
  <c r="E356" i="12"/>
  <c r="AG1009" i="2" s="1"/>
  <c r="F336" i="12"/>
  <c r="C356" i="12"/>
  <c r="K336" i="12"/>
  <c r="H293" i="12"/>
  <c r="AA773" i="2" s="1"/>
  <c r="P356" i="12"/>
  <c r="AG1020" i="2" s="1"/>
  <c r="L356" i="12"/>
  <c r="AG1016" i="2" s="1"/>
  <c r="M315" i="12"/>
  <c r="M336" i="12"/>
  <c r="B336" i="12"/>
  <c r="P293" i="12"/>
  <c r="AA781" i="2" s="1"/>
  <c r="H356" i="12"/>
  <c r="AG1012" i="2" s="1"/>
  <c r="D356" i="12"/>
  <c r="AG1008" i="2" s="1"/>
  <c r="E315" i="12"/>
  <c r="D336" i="12"/>
  <c r="I315" i="12"/>
  <c r="O315" i="12"/>
  <c r="H336" i="12"/>
  <c r="O356" i="12"/>
  <c r="AG1019" i="2" s="1"/>
  <c r="P336" i="12"/>
  <c r="K356" i="12"/>
  <c r="AG1015" i="2" s="1"/>
  <c r="K315" i="12"/>
  <c r="J336" i="12"/>
  <c r="O250" i="12"/>
  <c r="O272" i="12"/>
  <c r="G356" i="12"/>
  <c r="AG1011" i="2" s="1"/>
  <c r="G336" i="12"/>
  <c r="N336" i="12"/>
  <c r="C315" i="12"/>
  <c r="P315" i="12"/>
  <c r="K293" i="12"/>
  <c r="AA776" i="2" s="1"/>
  <c r="B293" i="12"/>
  <c r="B356" i="12"/>
  <c r="F356" i="12"/>
  <c r="AG1010" i="2" s="1"/>
  <c r="F315" i="12"/>
  <c r="L315" i="12"/>
  <c r="J315" i="12"/>
  <c r="N356" i="12"/>
  <c r="AG1018" i="2" s="1"/>
  <c r="H315" i="12"/>
  <c r="I272" i="12"/>
  <c r="M250" i="12"/>
  <c r="I250" i="12"/>
  <c r="F272" i="12"/>
  <c r="M356" i="12"/>
  <c r="AG1017" i="2" s="1"/>
  <c r="D293" i="12"/>
  <c r="AA769" i="2" s="1"/>
  <c r="E250" i="12"/>
  <c r="K272" i="12"/>
  <c r="K250" i="12"/>
  <c r="J250" i="12"/>
  <c r="N272" i="12"/>
  <c r="D250" i="12"/>
  <c r="I293" i="12"/>
  <c r="AA774" i="2" s="1"/>
  <c r="N315" i="12"/>
  <c r="L293" i="12"/>
  <c r="AA777" i="2" s="1"/>
  <c r="C250" i="12"/>
  <c r="B250" i="12"/>
  <c r="P250" i="12"/>
  <c r="G272" i="12"/>
  <c r="L336" i="12"/>
  <c r="O336" i="12"/>
  <c r="B272" i="12"/>
  <c r="H250" i="12"/>
  <c r="E336" i="12"/>
  <c r="N250" i="12"/>
  <c r="J272" i="12"/>
  <c r="D315" i="12"/>
  <c r="F250" i="12"/>
  <c r="L250" i="12"/>
  <c r="D272" i="12"/>
  <c r="E272" i="12"/>
  <c r="J356" i="12"/>
  <c r="AG1014" i="2" s="1"/>
  <c r="M272" i="12"/>
  <c r="G250" i="12"/>
  <c r="I356" i="12"/>
  <c r="AG1013" i="2" s="1"/>
  <c r="L272" i="12"/>
  <c r="B315" i="12"/>
  <c r="C272" i="12"/>
  <c r="C336" i="12"/>
  <c r="C293" i="12"/>
  <c r="Q336" i="12"/>
  <c r="Q315" i="12"/>
  <c r="Q272" i="12"/>
  <c r="Q356" i="12"/>
  <c r="AG733" i="2" s="1"/>
  <c r="Q293" i="12"/>
  <c r="AA766" i="2" s="1"/>
  <c r="Q250" i="12"/>
  <c r="T119" i="5"/>
  <c r="W110" i="5"/>
  <c r="O300" i="12"/>
  <c r="AA924" i="2" s="1"/>
  <c r="G257" i="12"/>
  <c r="H300" i="12"/>
  <c r="AA917" i="2" s="1"/>
  <c r="I300" i="12"/>
  <c r="AA918" i="2" s="1"/>
  <c r="I279" i="12"/>
  <c r="C343" i="12"/>
  <c r="E300" i="12"/>
  <c r="AA914" i="2" s="1"/>
  <c r="N300" i="12"/>
  <c r="AA923" i="2" s="1"/>
  <c r="B343" i="12"/>
  <c r="D300" i="12"/>
  <c r="AA913" i="2" s="1"/>
  <c r="C322" i="12"/>
  <c r="B300" i="12"/>
  <c r="O257" i="12"/>
  <c r="M300" i="12"/>
  <c r="AA922" i="2" s="1"/>
  <c r="J343" i="12"/>
  <c r="F300" i="12"/>
  <c r="AA915" i="2" s="1"/>
  <c r="J300" i="12"/>
  <c r="AA919" i="2" s="1"/>
  <c r="P279" i="12"/>
  <c r="K300" i="12"/>
  <c r="AA920" i="2" s="1"/>
  <c r="K257" i="12"/>
  <c r="M279" i="12"/>
  <c r="B257" i="12"/>
  <c r="P257" i="12"/>
  <c r="E343" i="12"/>
  <c r="B279" i="12"/>
  <c r="D279" i="12"/>
  <c r="C257" i="12"/>
  <c r="G279" i="12"/>
  <c r="H257" i="12"/>
  <c r="L300" i="12"/>
  <c r="AA921" i="2" s="1"/>
  <c r="B322" i="12"/>
  <c r="P300" i="12"/>
  <c r="AA925" i="2" s="1"/>
  <c r="N257" i="12"/>
  <c r="J279" i="12"/>
  <c r="L279" i="12"/>
  <c r="O279" i="12"/>
  <c r="C300" i="12"/>
  <c r="F257" i="12"/>
  <c r="L257" i="12"/>
  <c r="I257" i="12"/>
  <c r="M257" i="12"/>
  <c r="C279" i="12"/>
  <c r="D257" i="12"/>
  <c r="G300" i="12"/>
  <c r="AA916" i="2" s="1"/>
  <c r="K279" i="12"/>
  <c r="E279" i="12"/>
  <c r="E257" i="12"/>
  <c r="J257" i="12"/>
  <c r="F279" i="12"/>
  <c r="N279" i="12"/>
  <c r="H279" i="12"/>
  <c r="N322" i="12"/>
  <c r="C363" i="12"/>
  <c r="H343" i="12"/>
  <c r="G343" i="12"/>
  <c r="D343" i="12"/>
  <c r="K322" i="12"/>
  <c r="E363" i="12"/>
  <c r="AG866" i="2" s="1"/>
  <c r="F322" i="12"/>
  <c r="M343" i="12"/>
  <c r="P343" i="12"/>
  <c r="O343" i="12"/>
  <c r="J322" i="12"/>
  <c r="J363" i="12"/>
  <c r="AG871" i="2" s="1"/>
  <c r="F343" i="12"/>
  <c r="M322" i="12"/>
  <c r="D322" i="12"/>
  <c r="O322" i="12"/>
  <c r="P322" i="12"/>
  <c r="G322" i="12"/>
  <c r="K343" i="12"/>
  <c r="N343" i="12"/>
  <c r="L343" i="12"/>
  <c r="I343" i="12"/>
  <c r="B363" i="12"/>
  <c r="E322" i="12"/>
  <c r="H322" i="12"/>
  <c r="I322" i="12"/>
  <c r="L322" i="12"/>
  <c r="P363" i="12"/>
  <c r="AG877" i="2" s="1"/>
  <c r="H363" i="12"/>
  <c r="AG869" i="2" s="1"/>
  <c r="D363" i="12"/>
  <c r="AG865" i="2" s="1"/>
  <c r="O363" i="12"/>
  <c r="AG876" i="2" s="1"/>
  <c r="N363" i="12"/>
  <c r="AG875" i="2" s="1"/>
  <c r="G363" i="12"/>
  <c r="AG868" i="2" s="1"/>
  <c r="K363" i="12"/>
  <c r="AG872" i="2" s="1"/>
  <c r="F363" i="12"/>
  <c r="AG867" i="2" s="1"/>
  <c r="I363" i="12"/>
  <c r="AG870" i="2" s="1"/>
  <c r="L363" i="12"/>
  <c r="AG873" i="2" s="1"/>
  <c r="M363" i="12"/>
  <c r="AG874" i="2" s="1"/>
  <c r="Q322" i="12"/>
  <c r="Q343" i="12"/>
  <c r="Q279" i="12"/>
  <c r="Q257" i="12"/>
  <c r="Q363" i="12"/>
  <c r="AG862" i="2" s="1"/>
  <c r="Q300" i="12"/>
  <c r="AA910" i="2" s="1"/>
  <c r="G316" i="12"/>
  <c r="F294" i="12"/>
  <c r="AA819" i="2" s="1"/>
  <c r="N294" i="12"/>
  <c r="AA827" i="2" s="1"/>
  <c r="M294" i="12"/>
  <c r="AA826" i="2" s="1"/>
  <c r="G294" i="12"/>
  <c r="AA820" i="2" s="1"/>
  <c r="E294" i="12"/>
  <c r="AA818" i="2" s="1"/>
  <c r="G273" i="12"/>
  <c r="J357" i="12"/>
  <c r="AG775" i="2" s="1"/>
  <c r="N357" i="12"/>
  <c r="AG779" i="2" s="1"/>
  <c r="K357" i="12"/>
  <c r="AG776" i="2" s="1"/>
  <c r="P337" i="12"/>
  <c r="N337" i="12"/>
  <c r="C337" i="12"/>
  <c r="J294" i="12"/>
  <c r="AA823" i="2" s="1"/>
  <c r="B357" i="12"/>
  <c r="F357" i="12"/>
  <c r="AG771" i="2" s="1"/>
  <c r="J337" i="12"/>
  <c r="G337" i="12"/>
  <c r="E337" i="12"/>
  <c r="P316" i="12"/>
  <c r="I357" i="12"/>
  <c r="AG774" i="2" s="1"/>
  <c r="M357" i="12"/>
  <c r="AG778" i="2" s="1"/>
  <c r="N316" i="12"/>
  <c r="L316" i="12"/>
  <c r="J316" i="12"/>
  <c r="H316" i="12"/>
  <c r="O316" i="12"/>
  <c r="H294" i="12"/>
  <c r="AA821" i="2" s="1"/>
  <c r="I337" i="12"/>
  <c r="E357" i="12"/>
  <c r="AG770" i="2" s="1"/>
  <c r="F316" i="12"/>
  <c r="D316" i="12"/>
  <c r="B316" i="12"/>
  <c r="P294" i="12"/>
  <c r="AA829" i="2" s="1"/>
  <c r="P357" i="12"/>
  <c r="AG781" i="2" s="1"/>
  <c r="L357" i="12"/>
  <c r="AG777" i="2" s="1"/>
  <c r="C357" i="12"/>
  <c r="O337" i="12"/>
  <c r="M337" i="12"/>
  <c r="O357" i="12"/>
  <c r="AG780" i="2" s="1"/>
  <c r="K337" i="12"/>
  <c r="M316" i="12"/>
  <c r="K316" i="12"/>
  <c r="I316" i="12"/>
  <c r="I294" i="12"/>
  <c r="AA822" i="2" s="1"/>
  <c r="K294" i="12"/>
  <c r="AA824" i="2" s="1"/>
  <c r="D357" i="12"/>
  <c r="AG769" i="2" s="1"/>
  <c r="O251" i="12"/>
  <c r="C294" i="12"/>
  <c r="C251" i="12"/>
  <c r="K273" i="12"/>
  <c r="B251" i="12"/>
  <c r="L273" i="12"/>
  <c r="P251" i="12"/>
  <c r="H357" i="12"/>
  <c r="AG773" i="2" s="1"/>
  <c r="M251" i="12"/>
  <c r="O294" i="12"/>
  <c r="AA828" i="2" s="1"/>
  <c r="B337" i="12"/>
  <c r="O273" i="12"/>
  <c r="B294" i="12"/>
  <c r="H273" i="12"/>
  <c r="H251" i="12"/>
  <c r="F273" i="12"/>
  <c r="G251" i="12"/>
  <c r="H337" i="12"/>
  <c r="N251" i="12"/>
  <c r="P273" i="12"/>
  <c r="B273" i="12"/>
  <c r="E273" i="12"/>
  <c r="E316" i="12"/>
  <c r="D294" i="12"/>
  <c r="AA817" i="2" s="1"/>
  <c r="F251" i="12"/>
  <c r="L251" i="12"/>
  <c r="J273" i="12"/>
  <c r="M273" i="12"/>
  <c r="D337" i="12"/>
  <c r="F337" i="12"/>
  <c r="L294" i="12"/>
  <c r="AA825" i="2" s="1"/>
  <c r="D251" i="12"/>
  <c r="N273" i="12"/>
  <c r="C316" i="12"/>
  <c r="I273" i="12"/>
  <c r="G357" i="12"/>
  <c r="AG772" i="2" s="1"/>
  <c r="E251" i="12"/>
  <c r="L337" i="12"/>
  <c r="I251" i="12"/>
  <c r="C273" i="12"/>
  <c r="K251" i="12"/>
  <c r="D273" i="12"/>
  <c r="J251" i="12"/>
  <c r="Q337" i="12"/>
  <c r="Q316" i="12"/>
  <c r="Q251" i="12"/>
  <c r="Q294" i="12"/>
  <c r="AA814" i="2" s="1"/>
  <c r="Q357" i="12"/>
  <c r="AG766" i="2" s="1"/>
  <c r="Q273" i="12"/>
  <c r="U313" i="2"/>
  <c r="U204" i="2"/>
  <c r="U280" i="2"/>
  <c r="AA280" i="2"/>
  <c r="U910" i="2"/>
  <c r="U207" i="2"/>
  <c r="U233" i="2"/>
  <c r="U255" i="2"/>
  <c r="U213" i="2"/>
  <c r="U324" i="2"/>
  <c r="U258" i="2"/>
  <c r="U205" i="2"/>
  <c r="U290" i="2"/>
  <c r="AA290" i="2"/>
  <c r="U293" i="2"/>
  <c r="U226" i="2"/>
  <c r="U276" i="2"/>
  <c r="U214" i="2"/>
  <c r="U241" i="2"/>
  <c r="U229" i="2"/>
  <c r="U231" i="2"/>
  <c r="U283" i="2"/>
  <c r="U323" i="2"/>
  <c r="U297" i="2"/>
  <c r="U228" i="2"/>
  <c r="U249" i="2"/>
  <c r="U245" i="2"/>
  <c r="U299" i="2"/>
  <c r="U221" i="2"/>
  <c r="U316" i="2"/>
  <c r="U326" i="2"/>
  <c r="U206" i="2"/>
  <c r="U288" i="2"/>
  <c r="U219" i="2"/>
  <c r="U225" i="2"/>
  <c r="U274" i="2"/>
  <c r="U216" i="2"/>
  <c r="U244" i="2"/>
  <c r="U232" i="2"/>
  <c r="U230" i="2"/>
  <c r="AA230" i="2"/>
  <c r="U278" i="2"/>
  <c r="U304" i="2"/>
  <c r="U253" i="2"/>
  <c r="U310" i="2"/>
  <c r="AA310" i="2"/>
  <c r="U331" i="2"/>
  <c r="U292" i="2"/>
  <c r="U211" i="2"/>
  <c r="U334" i="2"/>
  <c r="U203" i="2"/>
  <c r="U277" i="2"/>
  <c r="U236" i="2"/>
  <c r="U307" i="2"/>
  <c r="U257" i="2"/>
  <c r="U306" i="2"/>
  <c r="U250" i="2"/>
  <c r="AA250" i="2"/>
  <c r="U321" i="2"/>
  <c r="U322" i="2"/>
  <c r="U305" i="2"/>
  <c r="U330" i="2"/>
  <c r="AA330" i="2"/>
  <c r="U251" i="2"/>
  <c r="U262" i="2"/>
  <c r="U261" i="2"/>
  <c r="U202" i="2"/>
  <c r="U289" i="2"/>
  <c r="U222" i="2"/>
  <c r="U223" i="2"/>
  <c r="U270" i="2"/>
  <c r="AA270" i="2"/>
  <c r="U209" i="2"/>
  <c r="U246" i="2"/>
  <c r="U234" i="2"/>
  <c r="U287" i="2"/>
  <c r="U279" i="2"/>
  <c r="U332" i="2"/>
  <c r="U201" i="2"/>
  <c r="U271" i="2"/>
  <c r="U240" i="2"/>
  <c r="AA240" i="2"/>
  <c r="U300" i="2"/>
  <c r="AA300" i="2"/>
  <c r="U260" i="2"/>
  <c r="AA260" i="2"/>
  <c r="U272" i="2"/>
  <c r="U284" i="2"/>
  <c r="U327" i="2"/>
  <c r="U267" i="2"/>
  <c r="U291" i="2"/>
  <c r="U243" i="2"/>
  <c r="U314" i="2"/>
  <c r="U252" i="2"/>
  <c r="U315" i="2"/>
  <c r="U248" i="2"/>
  <c r="U311" i="2"/>
  <c r="U325" i="2"/>
  <c r="U320" i="2"/>
  <c r="AA320" i="2"/>
  <c r="U301" i="2"/>
  <c r="U336" i="2"/>
  <c r="U254" i="2"/>
  <c r="U264" i="2"/>
  <c r="U266" i="2"/>
  <c r="U199" i="2"/>
  <c r="U294" i="2"/>
  <c r="U227" i="2"/>
  <c r="U275" i="2"/>
  <c r="U273" i="2"/>
  <c r="U210" i="2"/>
  <c r="AA210" i="2"/>
  <c r="U247" i="2"/>
  <c r="U237" i="2"/>
  <c r="U282" i="2"/>
  <c r="U281" i="2"/>
  <c r="U302" i="2"/>
  <c r="U259" i="2"/>
  <c r="U218" i="2"/>
  <c r="U215" i="2"/>
  <c r="U319" i="2"/>
  <c r="U337" i="2"/>
  <c r="U220" i="2"/>
  <c r="AA220" i="2"/>
  <c r="U239" i="2"/>
  <c r="U312" i="2"/>
  <c r="U328" i="2"/>
  <c r="U295" i="2"/>
  <c r="U238" i="2"/>
  <c r="U286" i="2"/>
  <c r="U335" i="2"/>
  <c r="U309" i="2"/>
  <c r="U329" i="2"/>
  <c r="U263" i="2"/>
  <c r="U308" i="2"/>
  <c r="U317" i="2"/>
  <c r="U318" i="2"/>
  <c r="U298" i="2"/>
  <c r="U303" i="2"/>
  <c r="U333" i="2"/>
  <c r="U256" i="2"/>
  <c r="U265" i="2"/>
  <c r="U198" i="2"/>
  <c r="U200" i="2"/>
  <c r="AA200" i="2"/>
  <c r="U296" i="2"/>
  <c r="U224" i="2"/>
  <c r="U269" i="2"/>
  <c r="U268" i="2"/>
  <c r="U212" i="2"/>
  <c r="U242" i="2"/>
  <c r="U235" i="2"/>
  <c r="U285" i="2"/>
  <c r="U920" i="2"/>
  <c r="Q76" i="8"/>
  <c r="Q71" i="8"/>
  <c r="Q66" i="8"/>
  <c r="K81" i="8"/>
  <c r="Q73" i="8"/>
  <c r="Q79" i="8"/>
  <c r="Q75" i="8"/>
  <c r="Q67" i="8"/>
  <c r="Q65" i="8"/>
  <c r="Q72" i="8"/>
  <c r="Q68" i="8"/>
  <c r="Q80" i="8"/>
  <c r="Q78" i="8"/>
  <c r="Q74" i="8"/>
  <c r="Q69" i="8"/>
  <c r="Q77" i="8"/>
  <c r="Q70" i="8"/>
  <c r="W40" i="12"/>
  <c r="D148" i="19"/>
  <c r="Y40" i="12"/>
  <c r="D150" i="19"/>
  <c r="AJ41" i="12"/>
  <c r="E161" i="19"/>
  <c r="C33" i="12"/>
  <c r="C125" i="19" s="1"/>
  <c r="C142" i="19" s="1"/>
  <c r="C76" i="19"/>
  <c r="C93" i="19" s="1"/>
  <c r="B76" i="19"/>
  <c r="B93" i="19" s="1"/>
  <c r="AG41" i="12"/>
  <c r="E158" i="19"/>
  <c r="AJ39" i="12"/>
  <c r="C161" i="19"/>
  <c r="AC40" i="12"/>
  <c r="D154" i="19"/>
  <c r="Z41" i="12"/>
  <c r="E151" i="19"/>
  <c r="AF40" i="12"/>
  <c r="D157" i="19"/>
  <c r="AE40" i="12"/>
  <c r="D156" i="19"/>
  <c r="W39" i="12"/>
  <c r="C148" i="19"/>
  <c r="O877" i="2"/>
  <c r="U931" i="2" s="1"/>
  <c r="AI41" i="12"/>
  <c r="E160" i="19"/>
  <c r="Y39" i="12"/>
  <c r="C150" i="19"/>
  <c r="AB40" i="12"/>
  <c r="D153" i="19"/>
  <c r="X40" i="12"/>
  <c r="D149" i="19"/>
  <c r="AE41" i="12"/>
  <c r="E156" i="19"/>
  <c r="AA41" i="12"/>
  <c r="E152" i="19"/>
  <c r="Y41" i="12"/>
  <c r="E150" i="19"/>
  <c r="Z39" i="12"/>
  <c r="C151" i="19"/>
  <c r="AF41" i="12"/>
  <c r="E157" i="19"/>
  <c r="AB41" i="12"/>
  <c r="E153" i="19"/>
  <c r="W41" i="12"/>
  <c r="E148" i="19"/>
  <c r="O868" i="2"/>
  <c r="U922" i="2" s="1"/>
  <c r="AH41" i="12"/>
  <c r="E159" i="19"/>
  <c r="AJ40" i="12"/>
  <c r="D161" i="19"/>
  <c r="AC41" i="12"/>
  <c r="E154" i="19"/>
  <c r="X41" i="12"/>
  <c r="E149" i="19"/>
  <c r="AH40" i="12"/>
  <c r="D159" i="19"/>
  <c r="AH39" i="12"/>
  <c r="C159" i="19"/>
  <c r="AI39" i="12"/>
  <c r="C160" i="19"/>
  <c r="AG40" i="12"/>
  <c r="D158" i="19"/>
  <c r="AC39" i="12"/>
  <c r="C154" i="19"/>
  <c r="AD41" i="12"/>
  <c r="E155" i="19"/>
  <c r="Z40" i="12"/>
  <c r="D151" i="19"/>
  <c r="AF39" i="12"/>
  <c r="C157" i="19"/>
  <c r="X39" i="12"/>
  <c r="C149" i="19"/>
  <c r="AA40" i="12"/>
  <c r="D152" i="19"/>
  <c r="AI40" i="12"/>
  <c r="D160" i="19"/>
  <c r="AB39" i="12"/>
  <c r="C153" i="19"/>
  <c r="AE39" i="12"/>
  <c r="C156" i="19"/>
  <c r="AA39" i="12"/>
  <c r="C152" i="19"/>
  <c r="AG39" i="12"/>
  <c r="C158" i="19"/>
  <c r="AD39" i="12"/>
  <c r="C155" i="19"/>
  <c r="AD40" i="12"/>
  <c r="D155" i="19"/>
  <c r="O878" i="2"/>
  <c r="U932" i="2" s="1"/>
  <c r="O882" i="2"/>
  <c r="U936" i="2" s="1"/>
  <c r="O883" i="2"/>
  <c r="U937" i="2" s="1"/>
  <c r="O879" i="2"/>
  <c r="U933" i="2" s="1"/>
  <c r="O869" i="2"/>
  <c r="U923" i="2" s="1"/>
  <c r="O873" i="2"/>
  <c r="U927" i="2" s="1"/>
  <c r="O884" i="2"/>
  <c r="U938" i="2" s="1"/>
  <c r="O880" i="2"/>
  <c r="U934" i="2" s="1"/>
  <c r="O876" i="2"/>
  <c r="U930" i="2" s="1"/>
  <c r="O881" i="2"/>
  <c r="U935" i="2" s="1"/>
  <c r="O867" i="2"/>
  <c r="U921" i="2" s="1"/>
  <c r="O872" i="2"/>
  <c r="U926" i="2" s="1"/>
  <c r="O875" i="2"/>
  <c r="U929" i="2" s="1"/>
  <c r="O871" i="2"/>
  <c r="U925" i="2" s="1"/>
  <c r="F14" i="11"/>
  <c r="O563" i="2"/>
  <c r="O562" i="2"/>
  <c r="O568" i="2"/>
  <c r="O570" i="2"/>
  <c r="O569" i="2"/>
  <c r="O564" i="2"/>
  <c r="AG190" i="2" s="1"/>
  <c r="O566" i="2"/>
  <c r="O571" i="2"/>
  <c r="O565" i="2"/>
  <c r="O567" i="2"/>
  <c r="O870" i="2"/>
  <c r="U924" i="2" s="1"/>
  <c r="O874" i="2"/>
  <c r="U928" i="2" s="1"/>
  <c r="H479" i="11"/>
  <c r="O850" i="2"/>
  <c r="U469" i="2" s="1"/>
  <c r="H147" i="11"/>
  <c r="H148" i="11"/>
  <c r="H149" i="11"/>
  <c r="H143" i="11"/>
  <c r="H151" i="11"/>
  <c r="H144" i="11"/>
  <c r="H145" i="11"/>
  <c r="H142" i="11"/>
  <c r="H146" i="11"/>
  <c r="H150" i="11"/>
  <c r="O761" i="2"/>
  <c r="U370" i="2" s="1"/>
  <c r="O765" i="2"/>
  <c r="U375" i="2" s="1"/>
  <c r="H525" i="11"/>
  <c r="H526" i="11"/>
  <c r="H527" i="11"/>
  <c r="H520" i="11"/>
  <c r="H528" i="11"/>
  <c r="H521" i="11"/>
  <c r="H529" i="11"/>
  <c r="H523" i="11"/>
  <c r="H524" i="11"/>
  <c r="O865" i="2"/>
  <c r="U486" i="2" s="1"/>
  <c r="O861" i="2"/>
  <c r="U481" i="2" s="1"/>
  <c r="H269" i="11"/>
  <c r="O796" i="2"/>
  <c r="U409" i="2" s="1"/>
  <c r="H301" i="11"/>
  <c r="H305" i="11"/>
  <c r="H302" i="11"/>
  <c r="H306" i="11"/>
  <c r="H299" i="11"/>
  <c r="H303" i="11"/>
  <c r="H307" i="11"/>
  <c r="H308" i="11"/>
  <c r="O809" i="2"/>
  <c r="U423" i="2" s="1"/>
  <c r="H300" i="11"/>
  <c r="O804" i="2"/>
  <c r="U418" i="2" s="1"/>
  <c r="T72" i="8"/>
  <c r="F106" i="19" s="1"/>
  <c r="V72" i="8"/>
  <c r="H106" i="19" s="1"/>
  <c r="U72" i="8"/>
  <c r="G106" i="19" s="1"/>
  <c r="H180" i="11"/>
  <c r="H181" i="11"/>
  <c r="H182" i="11"/>
  <c r="H184" i="11"/>
  <c r="H185" i="11"/>
  <c r="H178" i="11"/>
  <c r="H186" i="11"/>
  <c r="H179" i="11"/>
  <c r="O774" i="2"/>
  <c r="U385" i="2" s="1"/>
  <c r="H183" i="11"/>
  <c r="H187" i="11"/>
  <c r="O770" i="2"/>
  <c r="U380" i="2" s="1"/>
  <c r="H361" i="11"/>
  <c r="H362" i="11"/>
  <c r="H355" i="11"/>
  <c r="H363" i="11"/>
  <c r="H356" i="11"/>
  <c r="H357" i="11"/>
  <c r="H358" i="11"/>
  <c r="O815" i="2"/>
  <c r="U430" i="2" s="1"/>
  <c r="O819" i="2"/>
  <c r="U435" i="2" s="1"/>
  <c r="H359" i="11"/>
  <c r="H360" i="11"/>
  <c r="H221" i="11"/>
  <c r="H214" i="11"/>
  <c r="H222" i="11"/>
  <c r="H215" i="11"/>
  <c r="H223" i="11"/>
  <c r="H217" i="11"/>
  <c r="H218" i="11"/>
  <c r="H219" i="11"/>
  <c r="H216" i="11"/>
  <c r="H220" i="11"/>
  <c r="O783" i="2"/>
  <c r="U395" i="2" s="1"/>
  <c r="O779" i="2"/>
  <c r="U390" i="2" s="1"/>
  <c r="H444" i="11"/>
  <c r="O841" i="2"/>
  <c r="U459" i="2" s="1"/>
  <c r="H501" i="11"/>
  <c r="H502" i="11"/>
  <c r="H495" i="11"/>
  <c r="H503" i="11"/>
  <c r="H496" i="11"/>
  <c r="H497" i="11"/>
  <c r="H498" i="11"/>
  <c r="H499" i="11"/>
  <c r="H500" i="11"/>
  <c r="O855" i="2"/>
  <c r="U475" i="2" s="1"/>
  <c r="O851" i="2"/>
  <c r="U470" i="2" s="1"/>
  <c r="H126" i="11"/>
  <c r="O760" i="2"/>
  <c r="U369" i="2" s="1"/>
  <c r="O799" i="2"/>
  <c r="U412" i="2" s="1"/>
  <c r="O803" i="2"/>
  <c r="U417" i="2" s="1"/>
  <c r="H254" i="11"/>
  <c r="H255" i="11"/>
  <c r="H250" i="11"/>
  <c r="H258" i="11"/>
  <c r="H251" i="11"/>
  <c r="H253" i="11"/>
  <c r="H256" i="11"/>
  <c r="H257" i="11"/>
  <c r="H252" i="11"/>
  <c r="O792" i="2"/>
  <c r="U405" i="2" s="1"/>
  <c r="O788" i="2"/>
  <c r="U400" i="2" s="1"/>
  <c r="O808" i="2"/>
  <c r="U422" i="2" s="1"/>
  <c r="O812" i="2"/>
  <c r="U427" i="2" s="1"/>
  <c r="O776" i="2"/>
  <c r="U387" i="2" s="1"/>
  <c r="O772" i="2"/>
  <c r="U382" i="2" s="1"/>
  <c r="H43" i="11"/>
  <c r="H47" i="11"/>
  <c r="H40" i="11"/>
  <c r="H44" i="11"/>
  <c r="H41" i="11"/>
  <c r="H49" i="11"/>
  <c r="H46" i="11"/>
  <c r="H48" i="11"/>
  <c r="H42" i="11"/>
  <c r="U353" i="2"/>
  <c r="U348" i="2"/>
  <c r="T65" i="8"/>
  <c r="F99" i="19" s="1"/>
  <c r="V65" i="8"/>
  <c r="H99" i="19" s="1"/>
  <c r="U65" i="8"/>
  <c r="G99" i="19" s="1"/>
  <c r="H195" i="11"/>
  <c r="H199" i="11"/>
  <c r="H193" i="11"/>
  <c r="H197" i="11"/>
  <c r="H201" i="11"/>
  <c r="H194" i="11"/>
  <c r="H196" i="11"/>
  <c r="H200" i="11"/>
  <c r="H202" i="11"/>
  <c r="O782" i="2"/>
  <c r="U393" i="2" s="1"/>
  <c r="O777" i="2"/>
  <c r="U388" i="2" s="1"/>
  <c r="V69" i="8"/>
  <c r="H103" i="19" s="1"/>
  <c r="T69" i="8"/>
  <c r="F103" i="19" s="1"/>
  <c r="U69" i="8"/>
  <c r="G103" i="19" s="1"/>
  <c r="D57" i="12"/>
  <c r="G78" i="12"/>
  <c r="C80" i="12"/>
  <c r="D81" i="12"/>
  <c r="F82" i="12"/>
  <c r="H83" i="12"/>
  <c r="E57" i="12"/>
  <c r="H78" i="12"/>
  <c r="D80" i="12"/>
  <c r="E81" i="12"/>
  <c r="G82" i="12"/>
  <c r="D33" i="12"/>
  <c r="D125" i="19" s="1"/>
  <c r="D142" i="19" s="1"/>
  <c r="F57" i="12"/>
  <c r="F147" i="19" s="1"/>
  <c r="F164" i="19" s="1"/>
  <c r="C79" i="12"/>
  <c r="E80" i="12"/>
  <c r="F81" i="12"/>
  <c r="H82" i="12"/>
  <c r="C84" i="12"/>
  <c r="F33" i="12"/>
  <c r="F125" i="19" s="1"/>
  <c r="F142" i="19" s="1"/>
  <c r="H57" i="12"/>
  <c r="H147" i="19" s="1"/>
  <c r="H164" i="19" s="1"/>
  <c r="C78" i="12"/>
  <c r="E79" i="12"/>
  <c r="G80" i="12"/>
  <c r="H81" i="12"/>
  <c r="D83" i="12"/>
  <c r="E84" i="12"/>
  <c r="G33" i="12"/>
  <c r="G125" i="19" s="1"/>
  <c r="G142" i="19" s="1"/>
  <c r="D78" i="12"/>
  <c r="F79" i="12"/>
  <c r="H80" i="12"/>
  <c r="C82" i="12"/>
  <c r="E83" i="12"/>
  <c r="F84" i="12"/>
  <c r="H33" i="12"/>
  <c r="H125" i="19" s="1"/>
  <c r="H142" i="19" s="1"/>
  <c r="E78" i="12"/>
  <c r="G79" i="12"/>
  <c r="D82" i="12"/>
  <c r="F83" i="12"/>
  <c r="G84" i="12"/>
  <c r="E33" i="12"/>
  <c r="E125" i="19" s="1"/>
  <c r="E142" i="19" s="1"/>
  <c r="G81" i="12"/>
  <c r="E82" i="12"/>
  <c r="C83" i="12"/>
  <c r="C57" i="12"/>
  <c r="F78" i="12"/>
  <c r="G83" i="12"/>
  <c r="G57" i="12"/>
  <c r="G147" i="19" s="1"/>
  <c r="G164" i="19" s="1"/>
  <c r="D79" i="12"/>
  <c r="D84" i="12"/>
  <c r="H79" i="12"/>
  <c r="H84" i="12"/>
  <c r="L64" i="8"/>
  <c r="F80" i="12"/>
  <c r="M64" i="8"/>
  <c r="C81" i="12"/>
  <c r="O64" i="8"/>
  <c r="P64" i="8"/>
  <c r="N64" i="8"/>
  <c r="H237" i="11"/>
  <c r="H231" i="11"/>
  <c r="H235" i="11"/>
  <c r="H232" i="11"/>
  <c r="H236" i="11"/>
  <c r="H238" i="11"/>
  <c r="H229" i="11"/>
  <c r="H230" i="11"/>
  <c r="O791" i="2"/>
  <c r="U403" i="2" s="1"/>
  <c r="O786" i="2"/>
  <c r="U398" i="2" s="1"/>
  <c r="H233" i="11"/>
  <c r="U70" i="8"/>
  <c r="G104" i="19" s="1"/>
  <c r="T70" i="8"/>
  <c r="F104" i="19" s="1"/>
  <c r="V70" i="8"/>
  <c r="H104" i="19" s="1"/>
  <c r="H320" i="11"/>
  <c r="H328" i="11"/>
  <c r="H321" i="11"/>
  <c r="H322" i="11"/>
  <c r="H323" i="11"/>
  <c r="H324" i="11"/>
  <c r="H325" i="11"/>
  <c r="O806" i="2"/>
  <c r="U420" i="2" s="1"/>
  <c r="H326" i="11"/>
  <c r="O810" i="2"/>
  <c r="U425" i="2" s="1"/>
  <c r="H327" i="11"/>
  <c r="H171" i="11"/>
  <c r="H172" i="11"/>
  <c r="H173" i="11"/>
  <c r="H175" i="11"/>
  <c r="H168" i="11"/>
  <c r="H176" i="11"/>
  <c r="H169" i="11"/>
  <c r="H170" i="11"/>
  <c r="H174" i="11"/>
  <c r="O775" i="2"/>
  <c r="U386" i="2" s="1"/>
  <c r="O771" i="2"/>
  <c r="U381" i="2" s="1"/>
  <c r="H45" i="11"/>
  <c r="U349" i="2"/>
  <c r="H377" i="11"/>
  <c r="H370" i="11"/>
  <c r="H378" i="11"/>
  <c r="H371" i="11"/>
  <c r="H375" i="11"/>
  <c r="O822" i="2"/>
  <c r="U438" i="2" s="1"/>
  <c r="H369" i="11"/>
  <c r="H372" i="11"/>
  <c r="H373" i="11"/>
  <c r="H376" i="11"/>
  <c r="U74" i="8"/>
  <c r="G109" i="19" s="1"/>
  <c r="O827" i="2"/>
  <c r="U443" i="2" s="1"/>
  <c r="T74" i="8"/>
  <c r="F109" i="19" s="1"/>
  <c r="V74" i="8"/>
  <c r="H109" i="19" s="1"/>
  <c r="O785" i="2"/>
  <c r="U397" i="2" s="1"/>
  <c r="O781" i="2"/>
  <c r="U392" i="2" s="1"/>
  <c r="O848" i="2"/>
  <c r="U467" i="2" s="1"/>
  <c r="O844" i="2"/>
  <c r="U462" i="2" s="1"/>
  <c r="H138" i="11"/>
  <c r="H139" i="11"/>
  <c r="H132" i="11"/>
  <c r="H140" i="11"/>
  <c r="H134" i="11"/>
  <c r="H135" i="11"/>
  <c r="H136" i="11"/>
  <c r="H133" i="11"/>
  <c r="H137" i="11"/>
  <c r="O766" i="2"/>
  <c r="U376" i="2" s="1"/>
  <c r="O762" i="2"/>
  <c r="U371" i="2" s="1"/>
  <c r="O857" i="2"/>
  <c r="U477" i="2" s="1"/>
  <c r="O853" i="2"/>
  <c r="U472" i="2" s="1"/>
  <c r="O767" i="2"/>
  <c r="U377" i="2" s="1"/>
  <c r="O763" i="2"/>
  <c r="U372" i="2" s="1"/>
  <c r="O839" i="2"/>
  <c r="U457" i="2" s="1"/>
  <c r="O835" i="2"/>
  <c r="U452" i="2" s="1"/>
  <c r="H245" i="11"/>
  <c r="H246" i="11"/>
  <c r="H241" i="11"/>
  <c r="H242" i="11"/>
  <c r="H243" i="11"/>
  <c r="H240" i="11"/>
  <c r="H244" i="11"/>
  <c r="H247" i="11"/>
  <c r="H248" i="11"/>
  <c r="O793" i="2"/>
  <c r="U406" i="2" s="1"/>
  <c r="O789" i="2"/>
  <c r="U401" i="2" s="1"/>
  <c r="O805" i="2"/>
  <c r="U419" i="2" s="1"/>
  <c r="H304" i="11"/>
  <c r="H160" i="11"/>
  <c r="H164" i="11"/>
  <c r="H157" i="11"/>
  <c r="H161" i="11"/>
  <c r="H158" i="11"/>
  <c r="H166" i="11"/>
  <c r="H163" i="11"/>
  <c r="H165" i="11"/>
  <c r="H159" i="11"/>
  <c r="O768" i="2"/>
  <c r="U378" i="2" s="1"/>
  <c r="O773" i="2"/>
  <c r="U383" i="2" s="1"/>
  <c r="T68" i="8"/>
  <c r="F102" i="19" s="1"/>
  <c r="V68" i="8"/>
  <c r="H102" i="19" s="1"/>
  <c r="U68" i="8"/>
  <c r="G102" i="19" s="1"/>
  <c r="U352" i="2"/>
  <c r="U357" i="2"/>
  <c r="H394" i="11"/>
  <c r="H395" i="11"/>
  <c r="H396" i="11"/>
  <c r="H397" i="11"/>
  <c r="H390" i="11"/>
  <c r="H398" i="11"/>
  <c r="H391" i="11"/>
  <c r="H392" i="11"/>
  <c r="H393" i="11"/>
  <c r="O824" i="2"/>
  <c r="U440" i="2" s="1"/>
  <c r="O828" i="2"/>
  <c r="U445" i="2" s="1"/>
  <c r="H106" i="11"/>
  <c r="H114" i="11"/>
  <c r="H107" i="11"/>
  <c r="H115" i="11"/>
  <c r="H108" i="11"/>
  <c r="H110" i="11"/>
  <c r="H111" i="11"/>
  <c r="H112" i="11"/>
  <c r="H109" i="11"/>
  <c r="H113" i="11"/>
  <c r="O752" i="2"/>
  <c r="U360" i="2" s="1"/>
  <c r="O756" i="2"/>
  <c r="U365" i="2" s="1"/>
  <c r="H129" i="11"/>
  <c r="H122" i="11"/>
  <c r="H130" i="11"/>
  <c r="H123" i="11"/>
  <c r="H127" i="11"/>
  <c r="H124" i="11"/>
  <c r="H128" i="11"/>
  <c r="H121" i="11"/>
  <c r="H125" i="11"/>
  <c r="O759" i="2"/>
  <c r="U368" i="2" s="1"/>
  <c r="O764" i="2"/>
  <c r="U373" i="2" s="1"/>
  <c r="H427" i="11"/>
  <c r="H428" i="11"/>
  <c r="H429" i="11"/>
  <c r="H430" i="11"/>
  <c r="H431" i="11"/>
  <c r="H432" i="11"/>
  <c r="H425" i="11"/>
  <c r="H426" i="11"/>
  <c r="O833" i="2"/>
  <c r="U450" i="2" s="1"/>
  <c r="H433" i="11"/>
  <c r="O837" i="2"/>
  <c r="U455" i="2" s="1"/>
  <c r="H517" i="11"/>
  <c r="H510" i="11"/>
  <c r="H518" i="11"/>
  <c r="H511" i="11"/>
  <c r="H515" i="11"/>
  <c r="O863" i="2"/>
  <c r="U483" i="2" s="1"/>
  <c r="H509" i="11"/>
  <c r="H512" i="11"/>
  <c r="O858" i="2"/>
  <c r="U478" i="2" s="1"/>
  <c r="H513" i="11"/>
  <c r="V78" i="8"/>
  <c r="H112" i="19" s="1"/>
  <c r="H516" i="11"/>
  <c r="T78" i="8"/>
  <c r="F112" i="19" s="1"/>
  <c r="U78" i="8"/>
  <c r="G112" i="19" s="1"/>
  <c r="H162" i="11"/>
  <c r="O769" i="2"/>
  <c r="U379" i="2" s="1"/>
  <c r="H63" i="11"/>
  <c r="H64" i="11"/>
  <c r="H65" i="11"/>
  <c r="H67" i="11"/>
  <c r="H68" i="11"/>
  <c r="H61" i="11"/>
  <c r="H69" i="11"/>
  <c r="H62" i="11"/>
  <c r="U350" i="2"/>
  <c r="H66" i="11"/>
  <c r="U355" i="2"/>
  <c r="H385" i="11"/>
  <c r="H386" i="11"/>
  <c r="H387" i="11"/>
  <c r="H380" i="11"/>
  <c r="H388" i="11"/>
  <c r="H381" i="11"/>
  <c r="H382" i="11"/>
  <c r="O825" i="2"/>
  <c r="U441" i="2" s="1"/>
  <c r="O829" i="2"/>
  <c r="U446" i="2" s="1"/>
  <c r="H383" i="11"/>
  <c r="H384" i="11"/>
  <c r="H77" i="11"/>
  <c r="H81" i="11"/>
  <c r="H78" i="11"/>
  <c r="H82" i="11"/>
  <c r="H83" i="11"/>
  <c r="H76" i="11"/>
  <c r="H84" i="11"/>
  <c r="H75" i="11"/>
  <c r="H79" i="11"/>
  <c r="O750" i="2"/>
  <c r="U358" i="2" s="1"/>
  <c r="O755" i="2"/>
  <c r="U363" i="2" s="1"/>
  <c r="H352" i="11"/>
  <c r="H345" i="11"/>
  <c r="H353" i="11"/>
  <c r="H346" i="11"/>
  <c r="H347" i="11"/>
  <c r="H348" i="11"/>
  <c r="H349" i="11"/>
  <c r="O816" i="2"/>
  <c r="U431" i="2" s="1"/>
  <c r="H350" i="11"/>
  <c r="H351" i="11"/>
  <c r="O820" i="2"/>
  <c r="U436" i="2" s="1"/>
  <c r="H418" i="11"/>
  <c r="H419" i="11"/>
  <c r="H420" i="11"/>
  <c r="H421" i="11"/>
  <c r="H422" i="11"/>
  <c r="H415" i="11"/>
  <c r="H423" i="11"/>
  <c r="H416" i="11"/>
  <c r="O838" i="2"/>
  <c r="U456" i="2" s="1"/>
  <c r="H417" i="11"/>
  <c r="O834" i="2"/>
  <c r="U451" i="2" s="1"/>
  <c r="H534" i="11"/>
  <c r="H535" i="11"/>
  <c r="H536" i="11"/>
  <c r="H537" i="11"/>
  <c r="H538" i="11"/>
  <c r="H531" i="11"/>
  <c r="H539" i="11"/>
  <c r="H532" i="11"/>
  <c r="O864" i="2"/>
  <c r="U485" i="2" s="1"/>
  <c r="H533" i="11"/>
  <c r="O860" i="2"/>
  <c r="U480" i="2" s="1"/>
  <c r="H287" i="11"/>
  <c r="H288" i="11"/>
  <c r="H289" i="11"/>
  <c r="H290" i="11"/>
  <c r="H291" i="11"/>
  <c r="H292" i="11"/>
  <c r="H285" i="11"/>
  <c r="H286" i="11"/>
  <c r="H293" i="11"/>
  <c r="O801" i="2"/>
  <c r="U415" i="2" s="1"/>
  <c r="O797" i="2"/>
  <c r="U410" i="2" s="1"/>
  <c r="H374" i="11"/>
  <c r="O823" i="2"/>
  <c r="U439" i="2" s="1"/>
  <c r="H97" i="11"/>
  <c r="H98" i="11"/>
  <c r="H99" i="11"/>
  <c r="H101" i="11"/>
  <c r="H102" i="11"/>
  <c r="H103" i="11"/>
  <c r="H96" i="11"/>
  <c r="O753" i="2"/>
  <c r="U361" i="2" s="1"/>
  <c r="H100" i="11"/>
  <c r="H104" i="11"/>
  <c r="O757" i="2"/>
  <c r="U366" i="2" s="1"/>
  <c r="H335" i="11"/>
  <c r="H343" i="11"/>
  <c r="H336" i="11"/>
  <c r="H340" i="11"/>
  <c r="H337" i="11"/>
  <c r="H341" i="11"/>
  <c r="H334" i="11"/>
  <c r="H338" i="11"/>
  <c r="H342" i="11"/>
  <c r="O818" i="2"/>
  <c r="U433" i="2" s="1"/>
  <c r="O813" i="2"/>
  <c r="U428" i="2" s="1"/>
  <c r="V73" i="8"/>
  <c r="H107" i="19" s="1"/>
  <c r="T73" i="8"/>
  <c r="F107" i="19" s="1"/>
  <c r="U73" i="8"/>
  <c r="G107" i="19" s="1"/>
  <c r="H492" i="11"/>
  <c r="H485" i="11"/>
  <c r="H493" i="11"/>
  <c r="H486" i="11"/>
  <c r="H487" i="11"/>
  <c r="H488" i="11"/>
  <c r="H489" i="11"/>
  <c r="O856" i="2"/>
  <c r="U476" i="2" s="1"/>
  <c r="H490" i="11"/>
  <c r="O852" i="2"/>
  <c r="U471" i="2" s="1"/>
  <c r="H491" i="11"/>
  <c r="H460" i="11"/>
  <c r="H468" i="11"/>
  <c r="H461" i="11"/>
  <c r="H462" i="11"/>
  <c r="H463" i="11"/>
  <c r="H464" i="11"/>
  <c r="H465" i="11"/>
  <c r="O846" i="2"/>
  <c r="U465" i="2" s="1"/>
  <c r="O842" i="2"/>
  <c r="U460" i="2" s="1"/>
  <c r="H466" i="11"/>
  <c r="H467" i="11"/>
  <c r="H409" i="11"/>
  <c r="O832" i="2"/>
  <c r="U449" i="2" s="1"/>
  <c r="H514" i="11"/>
  <c r="O859" i="2"/>
  <c r="U479" i="2" s="1"/>
  <c r="H267" i="11"/>
  <c r="H264" i="11"/>
  <c r="H268" i="11"/>
  <c r="H265" i="11"/>
  <c r="H271" i="11"/>
  <c r="H266" i="11"/>
  <c r="H272" i="11"/>
  <c r="H273" i="11"/>
  <c r="O800" i="2"/>
  <c r="U413" i="2" s="1"/>
  <c r="T71" i="8"/>
  <c r="F105" i="19" s="1"/>
  <c r="H270" i="11"/>
  <c r="O795" i="2"/>
  <c r="U408" i="2" s="1"/>
  <c r="V71" i="8"/>
  <c r="H105" i="19" s="1"/>
  <c r="U71" i="8"/>
  <c r="G105" i="19" s="1"/>
  <c r="O787" i="2"/>
  <c r="U399" i="2" s="1"/>
  <c r="H234" i="11"/>
  <c r="H54" i="11"/>
  <c r="H55" i="11"/>
  <c r="H56" i="11"/>
  <c r="H58" i="11"/>
  <c r="H51" i="11"/>
  <c r="H59" i="11"/>
  <c r="H52" i="11"/>
  <c r="H53" i="11"/>
  <c r="H57" i="11"/>
  <c r="U351" i="2"/>
  <c r="U356" i="2"/>
  <c r="O830" i="2"/>
  <c r="U447" i="2" s="1"/>
  <c r="O826" i="2"/>
  <c r="U442" i="2" s="1"/>
  <c r="H80" i="11"/>
  <c r="O751" i="2"/>
  <c r="U359" i="2" s="1"/>
  <c r="H339" i="11"/>
  <c r="O814" i="2"/>
  <c r="U429" i="2" s="1"/>
  <c r="H204" i="11"/>
  <c r="H212" i="11"/>
  <c r="H205" i="11"/>
  <c r="H206" i="11"/>
  <c r="H208" i="11"/>
  <c r="H209" i="11"/>
  <c r="H210" i="11"/>
  <c r="O784" i="2"/>
  <c r="U396" i="2" s="1"/>
  <c r="H207" i="11"/>
  <c r="H211" i="11"/>
  <c r="O780" i="2"/>
  <c r="U391" i="2" s="1"/>
  <c r="H441" i="11"/>
  <c r="H445" i="11"/>
  <c r="H442" i="11"/>
  <c r="H446" i="11"/>
  <c r="H439" i="11"/>
  <c r="H443" i="11"/>
  <c r="H447" i="11"/>
  <c r="H448" i="11"/>
  <c r="O840" i="2"/>
  <c r="U458" i="2" s="1"/>
  <c r="U76" i="8"/>
  <c r="G110" i="19" s="1"/>
  <c r="V76" i="8"/>
  <c r="H110" i="19" s="1"/>
  <c r="O845" i="2"/>
  <c r="U463" i="2" s="1"/>
  <c r="H440" i="11"/>
  <c r="T76" i="8"/>
  <c r="F110" i="19" s="1"/>
  <c r="H451" i="11"/>
  <c r="H452" i="11"/>
  <c r="H453" i="11"/>
  <c r="H454" i="11"/>
  <c r="H455" i="11"/>
  <c r="H456" i="11"/>
  <c r="O847" i="2"/>
  <c r="U466" i="2" s="1"/>
  <c r="H450" i="11"/>
  <c r="H457" i="11"/>
  <c r="H458" i="11"/>
  <c r="O843" i="2"/>
  <c r="U461" i="2" s="1"/>
  <c r="H475" i="11"/>
  <c r="H483" i="11"/>
  <c r="H476" i="11"/>
  <c r="H480" i="11"/>
  <c r="H477" i="11"/>
  <c r="H481" i="11"/>
  <c r="H474" i="11"/>
  <c r="H478" i="11"/>
  <c r="O854" i="2"/>
  <c r="U473" i="2" s="1"/>
  <c r="O849" i="2"/>
  <c r="U468" i="2" s="1"/>
  <c r="V77" i="8"/>
  <c r="H111" i="19" s="1"/>
  <c r="H482" i="11"/>
  <c r="T77" i="8"/>
  <c r="F111" i="19" s="1"/>
  <c r="U77" i="8"/>
  <c r="G111" i="19" s="1"/>
  <c r="H407" i="11"/>
  <c r="H411" i="11"/>
  <c r="H404" i="11"/>
  <c r="H408" i="11"/>
  <c r="H412" i="11"/>
  <c r="H405" i="11"/>
  <c r="H413" i="11"/>
  <c r="O831" i="2"/>
  <c r="U448" i="2" s="1"/>
  <c r="H406" i="11"/>
  <c r="O836" i="2"/>
  <c r="U453" i="2" s="1"/>
  <c r="H410" i="11"/>
  <c r="T75" i="8"/>
  <c r="F108" i="19" s="1"/>
  <c r="U75" i="8"/>
  <c r="G108" i="19" s="1"/>
  <c r="V75" i="8"/>
  <c r="H108" i="19" s="1"/>
  <c r="B71" i="12"/>
  <c r="B84" i="12"/>
  <c r="H522" i="11"/>
  <c r="O862" i="2"/>
  <c r="U482" i="2" s="1"/>
  <c r="O866" i="2"/>
  <c r="U487" i="2" s="1"/>
  <c r="H278" i="11"/>
  <c r="H279" i="11"/>
  <c r="H280" i="11"/>
  <c r="H281" i="11"/>
  <c r="H282" i="11"/>
  <c r="H275" i="11"/>
  <c r="H283" i="11"/>
  <c r="O798" i="2"/>
  <c r="U411" i="2" s="1"/>
  <c r="O802" i="2"/>
  <c r="U416" i="2" s="1"/>
  <c r="H276" i="11"/>
  <c r="H277" i="11"/>
  <c r="O790" i="2"/>
  <c r="U402" i="2" s="1"/>
  <c r="O794" i="2"/>
  <c r="U407" i="2" s="1"/>
  <c r="H311" i="11"/>
  <c r="H312" i="11"/>
  <c r="H313" i="11"/>
  <c r="H314" i="11"/>
  <c r="H315" i="11"/>
  <c r="H316" i="11"/>
  <c r="H310" i="11"/>
  <c r="O807" i="2"/>
  <c r="U421" i="2" s="1"/>
  <c r="H317" i="11"/>
  <c r="H318" i="11"/>
  <c r="O811" i="2"/>
  <c r="U426" i="2" s="1"/>
  <c r="O758" i="2"/>
  <c r="U367" i="2" s="1"/>
  <c r="O754" i="2"/>
  <c r="U362" i="2" s="1"/>
  <c r="O817" i="2"/>
  <c r="U432" i="2" s="1"/>
  <c r="O821" i="2"/>
  <c r="U437" i="2" s="1"/>
  <c r="T80" i="8"/>
  <c r="F114" i="19" s="1"/>
  <c r="U80" i="8"/>
  <c r="G114" i="19" s="1"/>
  <c r="V80" i="8"/>
  <c r="H114" i="19" s="1"/>
  <c r="H198" i="11"/>
  <c r="O778" i="2"/>
  <c r="U389" i="2" s="1"/>
  <c r="T79" i="8"/>
  <c r="F113" i="19" s="1"/>
  <c r="U79" i="8"/>
  <c r="G113" i="19" s="1"/>
  <c r="V79" i="8"/>
  <c r="H113" i="19" s="1"/>
  <c r="S255" i="12" l="1"/>
  <c r="D93" i="19"/>
  <c r="S346" i="12"/>
  <c r="S254" i="12"/>
  <c r="S280" i="12"/>
  <c r="S349" i="12"/>
  <c r="W67" i="8"/>
  <c r="S279" i="12"/>
  <c r="S278" i="12"/>
  <c r="S262" i="12"/>
  <c r="W119" i="5"/>
  <c r="S251" i="12"/>
  <c r="T357" i="12"/>
  <c r="AG767" i="2" s="1"/>
  <c r="R357" i="12"/>
  <c r="AG768" i="2"/>
  <c r="T337" i="12"/>
  <c r="R337" i="12"/>
  <c r="T363" i="12"/>
  <c r="AG863" i="2" s="1"/>
  <c r="AG864" i="2"/>
  <c r="R363" i="12"/>
  <c r="T300" i="12"/>
  <c r="AA911" i="2" s="1"/>
  <c r="R300" i="12"/>
  <c r="AA912" i="2"/>
  <c r="S342" i="12"/>
  <c r="S248" i="12"/>
  <c r="T354" i="12"/>
  <c r="AG751" i="2" s="1"/>
  <c r="R354" i="12"/>
  <c r="AG752" i="2"/>
  <c r="T313" i="12"/>
  <c r="R313" i="12"/>
  <c r="T291" i="12"/>
  <c r="AA799" i="2" s="1"/>
  <c r="AA800" i="2"/>
  <c r="R291" i="12"/>
  <c r="W75" i="8"/>
  <c r="W78" i="8"/>
  <c r="W74" i="8"/>
  <c r="W80" i="8"/>
  <c r="T328" i="12"/>
  <c r="R328" i="12"/>
  <c r="AA1038" i="2"/>
  <c r="S306" i="12"/>
  <c r="S281" i="12"/>
  <c r="AA1034" i="2"/>
  <c r="S302" i="12"/>
  <c r="S275" i="12"/>
  <c r="T296" i="12"/>
  <c r="AA847" i="2" s="1"/>
  <c r="R296" i="12"/>
  <c r="AA848" i="2"/>
  <c r="AA1028" i="2"/>
  <c r="S296" i="12"/>
  <c r="S326" i="12"/>
  <c r="T347" i="12"/>
  <c r="R347" i="12"/>
  <c r="S252" i="12"/>
  <c r="T282" i="12"/>
  <c r="R282" i="12"/>
  <c r="S366" i="12"/>
  <c r="T303" i="12"/>
  <c r="AA959" i="2" s="1"/>
  <c r="R303" i="12"/>
  <c r="AA960" i="2"/>
  <c r="AA1035" i="2"/>
  <c r="S303" i="12"/>
  <c r="S335" i="12"/>
  <c r="S319" i="12"/>
  <c r="S323" i="12"/>
  <c r="S348" i="12"/>
  <c r="S320" i="12"/>
  <c r="AA1030" i="2"/>
  <c r="S298" i="12"/>
  <c r="O736" i="2"/>
  <c r="O740" i="2"/>
  <c r="C98" i="19"/>
  <c r="C115" i="19" s="1"/>
  <c r="S316" i="12"/>
  <c r="AA1026" i="2"/>
  <c r="S294" i="12"/>
  <c r="S343" i="12"/>
  <c r="AA1032" i="2"/>
  <c r="S300" i="12"/>
  <c r="AG1007" i="2"/>
  <c r="T356" i="12"/>
  <c r="AG992" i="2" s="1"/>
  <c r="R356" i="12"/>
  <c r="W76" i="8"/>
  <c r="S321" i="12"/>
  <c r="S270" i="12"/>
  <c r="S263" i="12"/>
  <c r="T345" i="12"/>
  <c r="R345" i="12"/>
  <c r="S365" i="12"/>
  <c r="T275" i="12"/>
  <c r="R275" i="12"/>
  <c r="S359" i="12"/>
  <c r="W77" i="8"/>
  <c r="S261" i="12"/>
  <c r="T367" i="12"/>
  <c r="AG927" i="2" s="1"/>
  <c r="R367" i="12"/>
  <c r="AG928" i="2"/>
  <c r="W72" i="8"/>
  <c r="S358" i="12"/>
  <c r="AA1027" i="2"/>
  <c r="S295" i="12"/>
  <c r="T346" i="12"/>
  <c r="R346" i="12"/>
  <c r="T292" i="12"/>
  <c r="AA752" i="2"/>
  <c r="R292" i="12"/>
  <c r="T360" i="12"/>
  <c r="AG815" i="2" s="1"/>
  <c r="R360" i="12"/>
  <c r="AG816" i="2"/>
  <c r="T344" i="12"/>
  <c r="R344" i="12"/>
  <c r="T348" i="12"/>
  <c r="R348" i="12"/>
  <c r="S368" i="12"/>
  <c r="S341" i="12"/>
  <c r="T277" i="12"/>
  <c r="R277" i="12"/>
  <c r="T320" i="12"/>
  <c r="R320" i="12"/>
  <c r="S337" i="12"/>
  <c r="S322" i="12"/>
  <c r="S363" i="12"/>
  <c r="T257" i="12"/>
  <c r="R257" i="12"/>
  <c r="T322" i="12"/>
  <c r="R322" i="12"/>
  <c r="S272" i="12"/>
  <c r="T321" i="12"/>
  <c r="R321" i="12"/>
  <c r="S334" i="12"/>
  <c r="S354" i="12"/>
  <c r="W73" i="8"/>
  <c r="T285" i="12"/>
  <c r="R285" i="12"/>
  <c r="T369" i="12"/>
  <c r="AG959" i="2" s="1"/>
  <c r="R369" i="12"/>
  <c r="AG960" i="2"/>
  <c r="S259" i="12"/>
  <c r="T318" i="12"/>
  <c r="R318" i="12"/>
  <c r="T253" i="12"/>
  <c r="R253" i="12"/>
  <c r="S283" i="12"/>
  <c r="T326" i="12"/>
  <c r="R326" i="12"/>
  <c r="T338" i="12"/>
  <c r="R338" i="12"/>
  <c r="T252" i="12"/>
  <c r="R252" i="12"/>
  <c r="T271" i="12"/>
  <c r="R271" i="12"/>
  <c r="S355" i="12"/>
  <c r="T340" i="12"/>
  <c r="R340" i="12"/>
  <c r="T254" i="12"/>
  <c r="R254" i="12"/>
  <c r="T368" i="12"/>
  <c r="AG943" i="2" s="1"/>
  <c r="R368" i="12"/>
  <c r="AG944" i="2"/>
  <c r="T255" i="12"/>
  <c r="R255" i="12"/>
  <c r="S361" i="12"/>
  <c r="O732" i="2"/>
  <c r="O737" i="2"/>
  <c r="B98" i="19"/>
  <c r="B115" i="19" s="1"/>
  <c r="T251" i="12"/>
  <c r="T279" i="12"/>
  <c r="R279" i="12"/>
  <c r="S315" i="12"/>
  <c r="S356" i="12"/>
  <c r="T256" i="12"/>
  <c r="R256" i="12"/>
  <c r="S313" i="12"/>
  <c r="T270" i="12"/>
  <c r="R270" i="12"/>
  <c r="AA1023" i="2"/>
  <c r="S291" i="12"/>
  <c r="W66" i="8"/>
  <c r="T263" i="12"/>
  <c r="R263" i="12"/>
  <c r="S253" i="12"/>
  <c r="T283" i="12"/>
  <c r="R283" i="12"/>
  <c r="S367" i="12"/>
  <c r="S274" i="12"/>
  <c r="T295" i="12"/>
  <c r="AA831" i="2" s="1"/>
  <c r="R295" i="12"/>
  <c r="AA832" i="2"/>
  <c r="T358" i="12"/>
  <c r="AG783" i="2" s="1"/>
  <c r="R358" i="12"/>
  <c r="AG784" i="2"/>
  <c r="S282" i="12"/>
  <c r="S271" i="12"/>
  <c r="T335" i="12"/>
  <c r="R335" i="12"/>
  <c r="T314" i="12"/>
  <c r="R314" i="12"/>
  <c r="S276" i="12"/>
  <c r="T297" i="12"/>
  <c r="AA863" i="2" s="1"/>
  <c r="AA864" i="2"/>
  <c r="R297" i="12"/>
  <c r="S360" i="12"/>
  <c r="S284" i="12"/>
  <c r="T262" i="12"/>
  <c r="R262" i="12"/>
  <c r="H15" i="11"/>
  <c r="O734" i="2"/>
  <c r="O738" i="2"/>
  <c r="T316" i="12"/>
  <c r="R316" i="12"/>
  <c r="T294" i="12"/>
  <c r="AA815" i="2" s="1"/>
  <c r="R294" i="12"/>
  <c r="AA816" i="2"/>
  <c r="S336" i="12"/>
  <c r="AA1025" i="2"/>
  <c r="S293" i="12"/>
  <c r="T342" i="12"/>
  <c r="R342" i="12"/>
  <c r="T299" i="12"/>
  <c r="AA895" i="2" s="1"/>
  <c r="R299" i="12"/>
  <c r="AA896" i="2"/>
  <c r="S345" i="12"/>
  <c r="T365" i="12"/>
  <c r="AG895" i="2" s="1"/>
  <c r="R365" i="12"/>
  <c r="AG896" i="2"/>
  <c r="S339" i="12"/>
  <c r="W65" i="8"/>
  <c r="S347" i="12"/>
  <c r="AA1036" i="2"/>
  <c r="S304" i="12"/>
  <c r="T317" i="12"/>
  <c r="R317" i="12"/>
  <c r="S260" i="12"/>
  <c r="T366" i="12"/>
  <c r="AG911" i="2" s="1"/>
  <c r="R366" i="12"/>
  <c r="AG912" i="2"/>
  <c r="S249" i="12"/>
  <c r="T249" i="12"/>
  <c r="R249" i="12"/>
  <c r="AA1024" i="2"/>
  <c r="S292" i="12"/>
  <c r="T319" i="12"/>
  <c r="R319" i="12"/>
  <c r="S340" i="12"/>
  <c r="O735" i="2"/>
  <c r="O739" i="2"/>
  <c r="E98" i="19"/>
  <c r="E115" i="19" s="1"/>
  <c r="S273" i="12"/>
  <c r="T293" i="12"/>
  <c r="R293" i="12"/>
  <c r="AA768" i="2"/>
  <c r="T250" i="12"/>
  <c r="R250" i="12"/>
  <c r="S256" i="12"/>
  <c r="T248" i="12"/>
  <c r="R248" i="12"/>
  <c r="W70" i="8"/>
  <c r="W69" i="8"/>
  <c r="S285" i="12"/>
  <c r="T306" i="12"/>
  <c r="AA1007" i="2" s="1"/>
  <c r="AA1008" i="2"/>
  <c r="R306" i="12"/>
  <c r="S324" i="12"/>
  <c r="T324" i="12"/>
  <c r="R324" i="12"/>
  <c r="S318" i="12"/>
  <c r="T359" i="12"/>
  <c r="AG799" i="2" s="1"/>
  <c r="R359" i="12"/>
  <c r="AG800" i="2"/>
  <c r="T304" i="12"/>
  <c r="AA975" i="2" s="1"/>
  <c r="R304" i="12"/>
  <c r="AA976" i="2"/>
  <c r="S317" i="12"/>
  <c r="T274" i="12"/>
  <c r="R274" i="12"/>
  <c r="T325" i="12"/>
  <c r="R325" i="12"/>
  <c r="T276" i="12"/>
  <c r="R276" i="12"/>
  <c r="S258" i="12"/>
  <c r="T258" i="12"/>
  <c r="R258" i="12"/>
  <c r="S364" i="12"/>
  <c r="T364" i="12"/>
  <c r="AG879" i="2" s="1"/>
  <c r="R364" i="12"/>
  <c r="AG880" i="2"/>
  <c r="AA1033" i="2"/>
  <c r="S301" i="12"/>
  <c r="S277" i="12"/>
  <c r="T361" i="12"/>
  <c r="AG831" i="2" s="1"/>
  <c r="R361" i="12"/>
  <c r="AG832" i="2"/>
  <c r="T298" i="12"/>
  <c r="AA879" i="2" s="1"/>
  <c r="AA880" i="2"/>
  <c r="R298" i="12"/>
  <c r="T273" i="12"/>
  <c r="R273" i="12"/>
  <c r="S357" i="12"/>
  <c r="T336" i="12"/>
  <c r="R336" i="12"/>
  <c r="S362" i="12"/>
  <c r="T334" i="12"/>
  <c r="R334" i="12"/>
  <c r="O333" i="12"/>
  <c r="F247" i="12"/>
  <c r="H247" i="12"/>
  <c r="O290" i="12"/>
  <c r="AA796" i="2" s="1"/>
  <c r="N247" i="12"/>
  <c r="N290" i="12"/>
  <c r="AA795" i="2" s="1"/>
  <c r="O247" i="12"/>
  <c r="M290" i="12"/>
  <c r="AA794" i="2" s="1"/>
  <c r="P247" i="12"/>
  <c r="F290" i="12"/>
  <c r="AA787" i="2" s="1"/>
  <c r="G290" i="12"/>
  <c r="AA788" i="2" s="1"/>
  <c r="E290" i="12"/>
  <c r="AA786" i="2" s="1"/>
  <c r="K290" i="12"/>
  <c r="AA792" i="2" s="1"/>
  <c r="I353" i="12"/>
  <c r="AG742" i="2" s="1"/>
  <c r="E353" i="12"/>
  <c r="AG738" i="2" s="1"/>
  <c r="C353" i="12"/>
  <c r="D312" i="12"/>
  <c r="I333" i="12"/>
  <c r="G312" i="12"/>
  <c r="O312" i="12"/>
  <c r="B290" i="12"/>
  <c r="G333" i="12"/>
  <c r="P353" i="12"/>
  <c r="AG749" i="2" s="1"/>
  <c r="L353" i="12"/>
  <c r="AG745" i="2" s="1"/>
  <c r="M333" i="12"/>
  <c r="C333" i="12"/>
  <c r="I312" i="12"/>
  <c r="I290" i="12"/>
  <c r="AA790" i="2" s="1"/>
  <c r="J290" i="12"/>
  <c r="AA791" i="2" s="1"/>
  <c r="H353" i="12"/>
  <c r="AG741" i="2" s="1"/>
  <c r="D353" i="12"/>
  <c r="AG737" i="2" s="1"/>
  <c r="E333" i="12"/>
  <c r="K312" i="12"/>
  <c r="P333" i="12"/>
  <c r="H290" i="12"/>
  <c r="AA789" i="2" s="1"/>
  <c r="G247" i="12"/>
  <c r="O353" i="12"/>
  <c r="AG748" i="2" s="1"/>
  <c r="K353" i="12"/>
  <c r="AG744" i="2" s="1"/>
  <c r="M312" i="12"/>
  <c r="C312" i="12"/>
  <c r="H333" i="12"/>
  <c r="P290" i="12"/>
  <c r="AA797" i="2" s="1"/>
  <c r="G353" i="12"/>
  <c r="AG740" i="2" s="1"/>
  <c r="N333" i="12"/>
  <c r="E312" i="12"/>
  <c r="J333" i="12"/>
  <c r="P312" i="12"/>
  <c r="C269" i="12"/>
  <c r="K269" i="12"/>
  <c r="J353" i="12"/>
  <c r="AG743" i="2" s="1"/>
  <c r="F353" i="12"/>
  <c r="AG739" i="2" s="1"/>
  <c r="N312" i="12"/>
  <c r="D333" i="12"/>
  <c r="J312" i="12"/>
  <c r="J269" i="12"/>
  <c r="B333" i="12"/>
  <c r="L247" i="12"/>
  <c r="O269" i="12"/>
  <c r="C247" i="12"/>
  <c r="P269" i="12"/>
  <c r="B269" i="12"/>
  <c r="L333" i="12"/>
  <c r="B353" i="12"/>
  <c r="B312" i="12"/>
  <c r="D247" i="12"/>
  <c r="I247" i="12"/>
  <c r="E269" i="12"/>
  <c r="N353" i="12"/>
  <c r="AG747" i="2" s="1"/>
  <c r="H312" i="12"/>
  <c r="D269" i="12"/>
  <c r="M353" i="12"/>
  <c r="AG746" i="2" s="1"/>
  <c r="D290" i="12"/>
  <c r="AA785" i="2" s="1"/>
  <c r="L269" i="12"/>
  <c r="M247" i="12"/>
  <c r="F269" i="12"/>
  <c r="I269" i="12"/>
  <c r="F333" i="12"/>
  <c r="L290" i="12"/>
  <c r="AA793" i="2" s="1"/>
  <c r="E247" i="12"/>
  <c r="N269" i="12"/>
  <c r="F312" i="12"/>
  <c r="L312" i="12"/>
  <c r="H269" i="12"/>
  <c r="J247" i="12"/>
  <c r="M269" i="12"/>
  <c r="K247" i="12"/>
  <c r="G269" i="12"/>
  <c r="C290" i="12"/>
  <c r="B247" i="12"/>
  <c r="Q312" i="12"/>
  <c r="K333" i="12"/>
  <c r="Q247" i="12"/>
  <c r="Q353" i="12"/>
  <c r="AG734" i="2" s="1"/>
  <c r="Q333" i="12"/>
  <c r="Q290" i="12"/>
  <c r="AA782" i="2" s="1"/>
  <c r="Q269" i="12"/>
  <c r="W68" i="8"/>
  <c r="T349" i="12"/>
  <c r="R349" i="12"/>
  <c r="S369" i="12"/>
  <c r="T281" i="12"/>
  <c r="R281" i="12"/>
  <c r="T302" i="12"/>
  <c r="AA943" i="2" s="1"/>
  <c r="R302" i="12"/>
  <c r="AA944" i="2"/>
  <c r="T260" i="12"/>
  <c r="R260" i="12"/>
  <c r="AG993" i="2"/>
  <c r="T355" i="12"/>
  <c r="AG991" i="2" s="1"/>
  <c r="R355" i="12"/>
  <c r="AA1029" i="2"/>
  <c r="S297" i="12"/>
  <c r="T280" i="12"/>
  <c r="R280" i="12"/>
  <c r="T323" i="12"/>
  <c r="R323" i="12"/>
  <c r="S327" i="12"/>
  <c r="T327" i="12"/>
  <c r="R327" i="12"/>
  <c r="T305" i="12"/>
  <c r="AA991" i="2" s="1"/>
  <c r="R305" i="12"/>
  <c r="AA992" i="2"/>
  <c r="H9" i="11"/>
  <c r="O733" i="2"/>
  <c r="D98" i="19"/>
  <c r="D115" i="19" s="1"/>
  <c r="R251" i="12"/>
  <c r="S257" i="12"/>
  <c r="T343" i="12"/>
  <c r="R343" i="12"/>
  <c r="S250" i="12"/>
  <c r="T272" i="12"/>
  <c r="R272" i="12"/>
  <c r="T315" i="12"/>
  <c r="R315" i="12"/>
  <c r="W71" i="8"/>
  <c r="T362" i="12"/>
  <c r="AG847" i="2" s="1"/>
  <c r="R362" i="12"/>
  <c r="AG848" i="2"/>
  <c r="T278" i="12"/>
  <c r="R278" i="12"/>
  <c r="AA1031" i="2"/>
  <c r="S299" i="12"/>
  <c r="W79" i="8"/>
  <c r="S328" i="12"/>
  <c r="T259" i="12"/>
  <c r="R259" i="12"/>
  <c r="T339" i="12"/>
  <c r="R339" i="12"/>
  <c r="T261" i="12"/>
  <c r="R261" i="12"/>
  <c r="S338" i="12"/>
  <c r="S325" i="12"/>
  <c r="S314" i="12"/>
  <c r="S344" i="12"/>
  <c r="T301" i="12"/>
  <c r="AA927" i="2" s="1"/>
  <c r="R301" i="12"/>
  <c r="AA928" i="2"/>
  <c r="AA1037" i="2"/>
  <c r="S305" i="12"/>
  <c r="T284" i="12"/>
  <c r="R284" i="12"/>
  <c r="T341" i="12"/>
  <c r="R341" i="12"/>
  <c r="U192" i="2"/>
  <c r="U190" i="2"/>
  <c r="AA190" i="2"/>
  <c r="U195" i="2"/>
  <c r="U196" i="2"/>
  <c r="U194" i="2"/>
  <c r="U193" i="2"/>
  <c r="U188" i="2"/>
  <c r="U191" i="2"/>
  <c r="U189" i="2"/>
  <c r="U197" i="2"/>
  <c r="H4" i="11"/>
  <c r="H12" i="11"/>
  <c r="H10" i="11"/>
  <c r="H5" i="11"/>
  <c r="H13" i="11"/>
  <c r="H11" i="11"/>
  <c r="H6" i="11"/>
  <c r="H7" i="11"/>
  <c r="H8" i="11"/>
  <c r="M81" i="8"/>
  <c r="L81" i="8"/>
  <c r="Q64" i="8"/>
  <c r="N81" i="8"/>
  <c r="E76" i="19"/>
  <c r="E93" i="19" s="1"/>
  <c r="P81" i="8"/>
  <c r="O81" i="8"/>
  <c r="B47" i="12"/>
  <c r="O893" i="2"/>
  <c r="U492" i="2" s="1"/>
  <c r="V40" i="12"/>
  <c r="D147" i="19"/>
  <c r="D164" i="19" s="1"/>
  <c r="B40" i="12"/>
  <c r="O903" i="2"/>
  <c r="U502" i="2" s="1"/>
  <c r="O891" i="2"/>
  <c r="U947" i="2" s="1"/>
  <c r="B39" i="12"/>
  <c r="B34" i="12"/>
  <c r="B42" i="12"/>
  <c r="O889" i="2"/>
  <c r="U945" i="2" s="1"/>
  <c r="O897" i="2"/>
  <c r="U496" i="2" s="1"/>
  <c r="V41" i="12"/>
  <c r="E147" i="19"/>
  <c r="E164" i="19" s="1"/>
  <c r="O887" i="2"/>
  <c r="U490" i="2" s="1"/>
  <c r="B43" i="12"/>
  <c r="B44" i="12"/>
  <c r="O899" i="2"/>
  <c r="U498" i="2" s="1"/>
  <c r="O905" i="2"/>
  <c r="U504" i="2" s="1"/>
  <c r="B38" i="12"/>
  <c r="B130" i="19" s="1"/>
  <c r="O915" i="2"/>
  <c r="U939" i="2" s="1"/>
  <c r="V39" i="12"/>
  <c r="C147" i="19"/>
  <c r="C164" i="19" s="1"/>
  <c r="O916" i="2"/>
  <c r="U940" i="2" s="1"/>
  <c r="AJ37" i="12"/>
  <c r="B161" i="19"/>
  <c r="O911" i="2"/>
  <c r="U510" i="2" s="1"/>
  <c r="O935" i="2"/>
  <c r="U944" i="2" s="1"/>
  <c r="O918" i="2"/>
  <c r="U942" i="2" s="1"/>
  <c r="O917" i="2"/>
  <c r="U941" i="2" s="1"/>
  <c r="B45" i="12"/>
  <c r="O913" i="2"/>
  <c r="U512" i="2" s="1"/>
  <c r="B41" i="12"/>
  <c r="B46" i="12"/>
  <c r="O907" i="2"/>
  <c r="U506" i="2" s="1"/>
  <c r="O934" i="2"/>
  <c r="U943" i="2" s="1"/>
  <c r="B35" i="12"/>
  <c r="B36" i="12"/>
  <c r="B37" i="12"/>
  <c r="B48" i="12"/>
  <c r="B140" i="19" s="1"/>
  <c r="B49" i="12"/>
  <c r="B141" i="19" s="1"/>
  <c r="H506" i="11"/>
  <c r="O912" i="2"/>
  <c r="U511" i="2" s="1"/>
  <c r="H120" i="11"/>
  <c r="O921" i="2"/>
  <c r="U949" i="2" s="1"/>
  <c r="H403" i="11"/>
  <c r="O929" i="2"/>
  <c r="U522" i="2" s="1"/>
  <c r="H74" i="11"/>
  <c r="O920" i="2"/>
  <c r="U515" i="2" s="1"/>
  <c r="O909" i="2"/>
  <c r="U508" i="2" s="1"/>
  <c r="H368" i="11"/>
  <c r="O928" i="2"/>
  <c r="U521" i="2" s="1"/>
  <c r="H261" i="11"/>
  <c r="O898" i="2"/>
  <c r="U497" i="2" s="1"/>
  <c r="H226" i="11"/>
  <c r="O896" i="2"/>
  <c r="U495" i="2" s="1"/>
  <c r="H331" i="11"/>
  <c r="O902" i="2"/>
  <c r="U501" i="2" s="1"/>
  <c r="H438" i="11"/>
  <c r="O930" i="2"/>
  <c r="U523" i="2" s="1"/>
  <c r="H118" i="11"/>
  <c r="O890" i="2"/>
  <c r="U946" i="2" s="1"/>
  <c r="H544" i="11"/>
  <c r="O933" i="2"/>
  <c r="U526" i="2" s="1"/>
  <c r="H156" i="11"/>
  <c r="O922" i="2"/>
  <c r="U950" i="2" s="1"/>
  <c r="O895" i="2"/>
  <c r="U494" i="2" s="1"/>
  <c r="H333" i="11"/>
  <c r="O927" i="2"/>
  <c r="U520" i="2" s="1"/>
  <c r="H436" i="11"/>
  <c r="O908" i="2"/>
  <c r="U507" i="2" s="1"/>
  <c r="H508" i="11"/>
  <c r="O932" i="2"/>
  <c r="U525" i="2" s="1"/>
  <c r="H154" i="11"/>
  <c r="O892" i="2"/>
  <c r="U948" i="2" s="1"/>
  <c r="H190" i="11"/>
  <c r="O894" i="2"/>
  <c r="U493" i="2" s="1"/>
  <c r="H401" i="11"/>
  <c r="O906" i="2"/>
  <c r="U505" i="2" s="1"/>
  <c r="H228" i="11"/>
  <c r="O924" i="2"/>
  <c r="U517" i="2" s="1"/>
  <c r="O901" i="2"/>
  <c r="U500" i="2" s="1"/>
  <c r="H192" i="11"/>
  <c r="O923" i="2"/>
  <c r="U516" i="2" s="1"/>
  <c r="H473" i="11"/>
  <c r="O931" i="2"/>
  <c r="U524" i="2" s="1"/>
  <c r="H471" i="11"/>
  <c r="O910" i="2"/>
  <c r="U509" i="2" s="1"/>
  <c r="H296" i="11"/>
  <c r="O900" i="2"/>
  <c r="U499" i="2" s="1"/>
  <c r="H298" i="11"/>
  <c r="O926" i="2"/>
  <c r="U519" i="2" s="1"/>
  <c r="H366" i="11"/>
  <c r="O904" i="2"/>
  <c r="U503" i="2" s="1"/>
  <c r="H542" i="11"/>
  <c r="O914" i="2"/>
  <c r="U513" i="2" s="1"/>
  <c r="H263" i="11"/>
  <c r="O925" i="2"/>
  <c r="U518" i="2" s="1"/>
  <c r="H72" i="11"/>
  <c r="O888" i="2"/>
  <c r="U491" i="2" s="1"/>
  <c r="H189" i="11"/>
  <c r="X68" i="8"/>
  <c r="H117" i="11"/>
  <c r="X66" i="8"/>
  <c r="H21" i="11"/>
  <c r="H22" i="11"/>
  <c r="H23" i="11"/>
  <c r="H17" i="11"/>
  <c r="H18" i="11"/>
  <c r="H19" i="11"/>
  <c r="H16" i="11"/>
  <c r="H20" i="11"/>
  <c r="H24" i="11"/>
  <c r="U340" i="2"/>
  <c r="U345" i="2"/>
  <c r="X79" i="8"/>
  <c r="H260" i="11"/>
  <c r="X70" i="8"/>
  <c r="H30" i="11"/>
  <c r="H31" i="11"/>
  <c r="H32" i="11"/>
  <c r="H26" i="11"/>
  <c r="H34" i="11"/>
  <c r="H27" i="11"/>
  <c r="B81" i="12"/>
  <c r="H28" i="11"/>
  <c r="H29" i="11"/>
  <c r="H33" i="11"/>
  <c r="U341" i="2"/>
  <c r="U346" i="2"/>
  <c r="X75" i="8"/>
  <c r="Z75" i="8" s="1"/>
  <c r="I109" i="19" s="1"/>
  <c r="H435" i="11"/>
  <c r="H541" i="11"/>
  <c r="X78" i="8"/>
  <c r="X80" i="8"/>
  <c r="H505" i="11"/>
  <c r="X77" i="8"/>
  <c r="H470" i="11"/>
  <c r="X76" i="8"/>
  <c r="H400" i="11"/>
  <c r="X74" i="8"/>
  <c r="Z74" i="8" s="1"/>
  <c r="I108" i="19" s="1"/>
  <c r="H295" i="11"/>
  <c r="X71" i="8"/>
  <c r="H365" i="11"/>
  <c r="X73" i="8"/>
  <c r="H153" i="11"/>
  <c r="X67" i="8"/>
  <c r="U339" i="2"/>
  <c r="U342" i="2"/>
  <c r="U347" i="2"/>
  <c r="H225" i="11"/>
  <c r="X69" i="8"/>
  <c r="H71" i="11"/>
  <c r="X65" i="8"/>
  <c r="Z65" i="8" s="1"/>
  <c r="I99" i="19" s="1"/>
  <c r="U343" i="2"/>
  <c r="V64" i="8"/>
  <c r="U64" i="8"/>
  <c r="U338" i="2"/>
  <c r="T64" i="8"/>
  <c r="H330" i="11"/>
  <c r="X72" i="8"/>
  <c r="Z72" i="8" s="1"/>
  <c r="I106" i="19" s="1"/>
  <c r="S333" i="12" l="1"/>
  <c r="S247" i="12"/>
  <c r="H543" i="11"/>
  <c r="Z78" i="8"/>
  <c r="I112" i="19" s="1"/>
  <c r="Y70" i="8"/>
  <c r="Z70" i="8"/>
  <c r="I104" i="19" s="1"/>
  <c r="Y68" i="8"/>
  <c r="Z68" i="8"/>
  <c r="I102" i="19" s="1"/>
  <c r="U81" i="8"/>
  <c r="G98" i="19"/>
  <c r="G115" i="19" s="1"/>
  <c r="T247" i="12"/>
  <c r="S312" i="12"/>
  <c r="R247" i="12"/>
  <c r="T333" i="12"/>
  <c r="R333" i="12"/>
  <c r="AA746" i="2"/>
  <c r="AA224" i="2" s="1"/>
  <c r="AA743" i="2"/>
  <c r="AA221" i="2" s="1"/>
  <c r="AA749" i="2"/>
  <c r="AA227" i="2" s="1"/>
  <c r="AA742" i="2"/>
  <c r="AA219" i="2" s="1"/>
  <c r="AA745" i="2"/>
  <c r="AA223" i="2" s="1"/>
  <c r="AA747" i="2"/>
  <c r="AA225" i="2" s="1"/>
  <c r="AA748" i="2"/>
  <c r="AA226" i="2" s="1"/>
  <c r="AA741" i="2"/>
  <c r="AA218" i="2" s="1"/>
  <c r="AA744" i="2"/>
  <c r="AA222" i="2" s="1"/>
  <c r="S269" i="12"/>
  <c r="T290" i="12"/>
  <c r="AA783" i="2" s="1"/>
  <c r="AA784" i="2"/>
  <c r="R290" i="12"/>
  <c r="T269" i="12"/>
  <c r="R269" i="12"/>
  <c r="T312" i="12"/>
  <c r="R312" i="12"/>
  <c r="T353" i="12"/>
  <c r="AG735" i="2" s="1"/>
  <c r="R353" i="12"/>
  <c r="AG736" i="2"/>
  <c r="AA740" i="2"/>
  <c r="AA217" i="2" s="1"/>
  <c r="AA739" i="2"/>
  <c r="AA216" i="2" s="1"/>
  <c r="AA736" i="2"/>
  <c r="AA213" i="2" s="1"/>
  <c r="AA734" i="2"/>
  <c r="AA211" i="2" s="1"/>
  <c r="AA735" i="2"/>
  <c r="AA212" i="2" s="1"/>
  <c r="AA732" i="2"/>
  <c r="AA208" i="2" s="1"/>
  <c r="AA738" i="2"/>
  <c r="AA215" i="2" s="1"/>
  <c r="AA733" i="2"/>
  <c r="AA209" i="2" s="1"/>
  <c r="AA737" i="2"/>
  <c r="AA214" i="2" s="1"/>
  <c r="Y76" i="8"/>
  <c r="Z76" i="8"/>
  <c r="I110" i="19" s="1"/>
  <c r="Y73" i="8"/>
  <c r="Z73" i="8"/>
  <c r="I107" i="19" s="1"/>
  <c r="Y77" i="8"/>
  <c r="Z77" i="8"/>
  <c r="I111" i="19" s="1"/>
  <c r="S353" i="12"/>
  <c r="Y69" i="8"/>
  <c r="Z69" i="8"/>
  <c r="I103" i="19" s="1"/>
  <c r="Y66" i="8"/>
  <c r="Z66" i="8"/>
  <c r="I100" i="19" s="1"/>
  <c r="V81" i="8"/>
  <c r="H98" i="19"/>
  <c r="H115" i="19" s="1"/>
  <c r="B72" i="12"/>
  <c r="B162" i="19" s="1"/>
  <c r="Z79" i="8"/>
  <c r="I113" i="19" s="1"/>
  <c r="Y67" i="8"/>
  <c r="Z67" i="8"/>
  <c r="I101" i="19" s="1"/>
  <c r="F98" i="19"/>
  <c r="F115" i="19" s="1"/>
  <c r="T81" i="8"/>
  <c r="Y71" i="8"/>
  <c r="Z71" i="8"/>
  <c r="I105" i="19" s="1"/>
  <c r="B73" i="12"/>
  <c r="B163" i="19" s="1"/>
  <c r="Z80" i="8"/>
  <c r="I114" i="19" s="1"/>
  <c r="AA1022" i="2"/>
  <c r="S290" i="12"/>
  <c r="W64" i="8"/>
  <c r="D52" i="12"/>
  <c r="C52" i="12"/>
  <c r="F52" i="12"/>
  <c r="H52" i="12"/>
  <c r="G52" i="12"/>
  <c r="E52" i="12"/>
  <c r="O919" i="2"/>
  <c r="U514" i="2" s="1"/>
  <c r="Z35" i="12"/>
  <c r="B129" i="19"/>
  <c r="AH35" i="12"/>
  <c r="B137" i="19"/>
  <c r="AG35" i="12"/>
  <c r="B136" i="19"/>
  <c r="AB35" i="12"/>
  <c r="B131" i="19"/>
  <c r="AF35" i="12"/>
  <c r="B135" i="19"/>
  <c r="AC35" i="12"/>
  <c r="B132" i="19"/>
  <c r="O885" i="2"/>
  <c r="U488" i="2" s="1"/>
  <c r="Y35" i="12"/>
  <c r="B128" i="19"/>
  <c r="O886" i="2"/>
  <c r="U489" i="2" s="1"/>
  <c r="W35" i="12"/>
  <c r="B126" i="19"/>
  <c r="AI35" i="12"/>
  <c r="B138" i="19"/>
  <c r="AA35" i="12"/>
  <c r="X35" i="12"/>
  <c r="B127" i="19"/>
  <c r="AD35" i="12"/>
  <c r="B133" i="19"/>
  <c r="AE35" i="12"/>
  <c r="B134" i="19"/>
  <c r="AJ35" i="12"/>
  <c r="B139" i="19"/>
  <c r="B33" i="12"/>
  <c r="Y80" i="8"/>
  <c r="H39" i="11"/>
  <c r="H437" i="11"/>
  <c r="B68" i="12"/>
  <c r="H73" i="11"/>
  <c r="B58" i="12"/>
  <c r="Y79" i="8"/>
  <c r="Y65" i="8"/>
  <c r="B60" i="12"/>
  <c r="H155" i="11"/>
  <c r="H297" i="11"/>
  <c r="B64" i="12"/>
  <c r="B59" i="12"/>
  <c r="H119" i="11"/>
  <c r="B65" i="12"/>
  <c r="H332" i="11"/>
  <c r="H36" i="11"/>
  <c r="X64" i="8"/>
  <c r="H37" i="11"/>
  <c r="Y72" i="8"/>
  <c r="B62" i="12"/>
  <c r="H227" i="11"/>
  <c r="B69" i="12"/>
  <c r="H472" i="11"/>
  <c r="Y78" i="8"/>
  <c r="B66" i="12"/>
  <c r="H367" i="11"/>
  <c r="B67" i="12"/>
  <c r="H402" i="11"/>
  <c r="B63" i="12"/>
  <c r="H262" i="11"/>
  <c r="B61" i="12"/>
  <c r="H191" i="11"/>
  <c r="Y74" i="8"/>
  <c r="Y75" i="8"/>
  <c r="B70" i="12"/>
  <c r="H507" i="11"/>
  <c r="B78" i="12" l="1"/>
  <c r="Z81" i="8"/>
  <c r="I115" i="19" s="1"/>
  <c r="Z64" i="8"/>
  <c r="I98" i="19" s="1"/>
  <c r="B125" i="19"/>
  <c r="B142" i="19" s="1"/>
  <c r="D51" i="12"/>
  <c r="F50" i="12"/>
  <c r="E51" i="12"/>
  <c r="G50" i="12"/>
  <c r="F51" i="12"/>
  <c r="H50" i="12"/>
  <c r="G51" i="12"/>
  <c r="C50" i="12"/>
  <c r="H51" i="12"/>
  <c r="C51" i="12"/>
  <c r="D50" i="12"/>
  <c r="E50" i="12"/>
  <c r="V35" i="12"/>
  <c r="AE37" i="12"/>
  <c r="B156" i="19"/>
  <c r="AC37" i="12"/>
  <c r="B154" i="19"/>
  <c r="Y37" i="12"/>
  <c r="B150" i="19"/>
  <c r="AG37" i="12"/>
  <c r="B158" i="19"/>
  <c r="Z37" i="12"/>
  <c r="B151" i="19"/>
  <c r="AH37" i="12"/>
  <c r="B159" i="19"/>
  <c r="AB37" i="12"/>
  <c r="B153" i="19"/>
  <c r="AA37" i="12"/>
  <c r="B152" i="19"/>
  <c r="AD37" i="12"/>
  <c r="B155" i="19"/>
  <c r="AI37" i="12"/>
  <c r="B160" i="19"/>
  <c r="AF37" i="12"/>
  <c r="B157" i="19"/>
  <c r="W37" i="12"/>
  <c r="B148" i="19"/>
  <c r="X37" i="12"/>
  <c r="B149" i="19"/>
  <c r="B57" i="12"/>
  <c r="B147" i="19" s="1"/>
  <c r="H38" i="11"/>
  <c r="Y64" i="8"/>
  <c r="B164" i="19" l="1"/>
  <c r="D74" i="12"/>
  <c r="E74" i="12"/>
  <c r="H74" i="12"/>
  <c r="C74" i="12"/>
  <c r="G74" i="12"/>
  <c r="F74" i="12"/>
  <c r="V37" i="1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Tommy Hendrickson</author>
  </authors>
  <commentList>
    <comment ref="A8" authorId="0" shapeId="0" xr:uid="{EA22C512-C96E-3849-B6FE-D6CE079EA68A}">
      <text>
        <r>
          <rPr>
            <b/>
            <sz val="10"/>
            <color rgb="FF000000"/>
            <rFont val="Tahoma"/>
            <family val="2"/>
          </rPr>
          <t>Tommy Hendrickson:</t>
        </r>
        <r>
          <rPr>
            <sz val="10"/>
            <color rgb="FF000000"/>
            <rFont val="Tahoma"/>
            <family val="2"/>
          </rPr>
          <t xml:space="preserve">
</t>
        </r>
        <r>
          <rPr>
            <sz val="10"/>
            <color rgb="FF000000"/>
            <rFont val="Tahoma"/>
            <family val="2"/>
          </rPr>
          <t xml:space="preserve">Synthetic fiber exports were about $2B in 2019, much less than imports (ACC Business of Chemistry, Table 5.3), raw syn. fiber imports were $2.3B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Tommy Hendrickson</author>
  </authors>
  <commentList>
    <comment ref="F25" authorId="0" shapeId="0" xr:uid="{362FDBE8-2993-2042-9BDE-852A829703C0}">
      <text>
        <r>
          <rPr>
            <b/>
            <sz val="10"/>
            <color rgb="FF000000"/>
            <rFont val="Tahoma"/>
            <family val="2"/>
          </rPr>
          <t>Tommy Hendrickson:</t>
        </r>
        <r>
          <rPr>
            <sz val="10"/>
            <color rgb="FF000000"/>
            <rFont val="Tahoma"/>
            <family val="2"/>
          </rPr>
          <t xml:space="preserve">
</t>
        </r>
        <r>
          <rPr>
            <sz val="10"/>
            <color rgb="FF000000"/>
            <rFont val="Tahoma"/>
            <family val="2"/>
          </rPr>
          <t>Di et al. has a "PE family" category (LDPE, HDPE) that is distributed here based on allocation of LDPE/HDPE sorted at MRFs in data.</t>
        </r>
      </text>
    </comment>
    <comment ref="G28" authorId="0" shapeId="0" xr:uid="{C729CCF1-25E5-304C-9226-D56E78701384}">
      <text>
        <r>
          <rPr>
            <b/>
            <sz val="10"/>
            <color rgb="FF000000"/>
            <rFont val="Tahoma"/>
            <family val="2"/>
          </rPr>
          <t>Tommy Hendrickson:</t>
        </r>
        <r>
          <rPr>
            <sz val="10"/>
            <color rgb="FF000000"/>
            <rFont val="Tahoma"/>
            <family val="2"/>
          </rPr>
          <t xml:space="preserve">
</t>
        </r>
        <r>
          <rPr>
            <sz val="10"/>
            <color rgb="FF000000"/>
            <rFont val="Tahoma"/>
            <family val="2"/>
          </rPr>
          <t>Di et al. data added up to over 100%, so edited this to just reflect the MRF output that wasn't exported</t>
        </r>
      </text>
    </comment>
    <comment ref="J41" authorId="0" shapeId="0" xr:uid="{EE24901C-5FD8-D641-BD6F-32B967205DBF}">
      <text>
        <r>
          <rPr>
            <b/>
            <sz val="10"/>
            <color rgb="FF000000"/>
            <rFont val="Tahoma"/>
            <family val="2"/>
          </rPr>
          <t>Tommy Hendrickson:</t>
        </r>
        <r>
          <rPr>
            <sz val="10"/>
            <color rgb="FF000000"/>
            <rFont val="Tahoma"/>
            <family val="2"/>
          </rPr>
          <t xml:space="preserve">
</t>
        </r>
        <r>
          <rPr>
            <sz val="10"/>
            <color rgb="FF000000"/>
            <rFont val="Tahoma"/>
            <family val="2"/>
          </rPr>
          <t>Edited this to make sure added up to 100%</t>
        </r>
      </text>
    </comment>
    <comment ref="J42" authorId="0" shapeId="0" xr:uid="{9C646287-3659-7848-8AA2-FE163C8916FF}">
      <text>
        <r>
          <rPr>
            <b/>
            <sz val="10"/>
            <color rgb="FF000000"/>
            <rFont val="Tahoma"/>
            <family val="2"/>
          </rPr>
          <t>Tommy Hendrickson:</t>
        </r>
        <r>
          <rPr>
            <sz val="10"/>
            <color rgb="FF000000"/>
            <rFont val="Tahoma"/>
            <family val="2"/>
          </rPr>
          <t xml:space="preserve">
</t>
        </r>
        <r>
          <rPr>
            <sz val="10"/>
            <color rgb="FF000000"/>
            <rFont val="Tahoma"/>
            <family val="2"/>
          </rPr>
          <t>Edited this to make sure added up to 100%</t>
        </r>
      </text>
    </comment>
    <comment ref="A43" authorId="0" shapeId="0" xr:uid="{43054DC8-06FA-6C42-84F7-E7FA6805A3A9}">
      <text>
        <r>
          <rPr>
            <b/>
            <sz val="10"/>
            <color rgb="FF000000"/>
            <rFont val="Tahoma"/>
            <family val="2"/>
          </rPr>
          <t>Tommy Hendrickson:</t>
        </r>
        <r>
          <rPr>
            <sz val="10"/>
            <color rgb="FF000000"/>
            <rFont val="Tahoma"/>
            <family val="2"/>
          </rPr>
          <t xml:space="preserve">
</t>
        </r>
        <r>
          <rPr>
            <sz val="10"/>
            <color rgb="FF000000"/>
            <rFont val="Tahoma"/>
            <family val="2"/>
          </rPr>
          <t>This is a placeholder for a lack of data on what's recycled for certain resins. If we assume it's "Other_Plastics" the overall recycling rate is too high (11.5%). Assigning a value of zero gets us closer to other studies (around 6-7%), and reflects primarily PET, HDPE, and LDPE/LLDPE being recycled.</t>
        </r>
      </text>
    </comment>
    <comment ref="J43" authorId="0" shapeId="0" xr:uid="{35F08F94-9369-8D48-9C9F-4FBB9BC984DD}">
      <text>
        <r>
          <rPr>
            <b/>
            <sz val="10"/>
            <color rgb="FF000000"/>
            <rFont val="Tahoma"/>
            <family val="2"/>
          </rPr>
          <t>Tommy Hendrickson:</t>
        </r>
        <r>
          <rPr>
            <sz val="10"/>
            <color rgb="FF000000"/>
            <rFont val="Tahoma"/>
            <family val="2"/>
          </rPr>
          <t xml:space="preserve">
</t>
        </r>
        <r>
          <rPr>
            <sz val="10"/>
            <color rgb="FF000000"/>
            <rFont val="Tahoma"/>
            <family val="2"/>
          </rPr>
          <t>Edited this to make sure added up to 100%</t>
        </r>
      </text>
    </comment>
    <comment ref="J44" authorId="0" shapeId="0" xr:uid="{CF4EFEEF-D2B9-E847-8537-3BFC0A6989B6}">
      <text>
        <r>
          <rPr>
            <b/>
            <sz val="10"/>
            <color rgb="FF000000"/>
            <rFont val="Tahoma"/>
            <family val="2"/>
          </rPr>
          <t>Tommy Hendrickson:</t>
        </r>
        <r>
          <rPr>
            <sz val="10"/>
            <color rgb="FF000000"/>
            <rFont val="Tahoma"/>
            <family val="2"/>
          </rPr>
          <t xml:space="preserve">
</t>
        </r>
        <r>
          <rPr>
            <sz val="10"/>
            <color rgb="FF000000"/>
            <rFont val="Tahoma"/>
            <family val="2"/>
          </rPr>
          <t>Edited this to make sure added up to 100%</t>
        </r>
      </text>
    </comment>
    <comment ref="D63" authorId="0" shapeId="0" xr:uid="{1D0F8047-2845-394B-881D-981A2DD9F662}">
      <text>
        <r>
          <rPr>
            <b/>
            <sz val="10"/>
            <color rgb="FF000000"/>
            <rFont val="Tahoma"/>
            <family val="2"/>
          </rPr>
          <t>Tommy Hendrickson:</t>
        </r>
        <r>
          <rPr>
            <sz val="10"/>
            <color rgb="FF000000"/>
            <rFont val="Tahoma"/>
            <family val="2"/>
          </rPr>
          <t xml:space="preserve">
</t>
        </r>
        <r>
          <rPr>
            <sz val="10"/>
            <color rgb="FF000000"/>
            <rFont val="Tahoma"/>
            <family val="2"/>
          </rPr>
          <t>9-12-23: Per reviewer comments, creating a new collection category for film plastics, setting that equal to MRF collection from other studies for film plastics.</t>
        </r>
      </text>
    </comment>
    <comment ref="C66" authorId="0" shapeId="0" xr:uid="{024A1424-167F-0B44-A181-463B7A2CCE97}">
      <text>
        <r>
          <rPr>
            <b/>
            <sz val="10"/>
            <color rgb="FF000000"/>
            <rFont val="Tahoma"/>
            <family val="2"/>
          </rPr>
          <t>Tommy Hendrickson:</t>
        </r>
        <r>
          <rPr>
            <sz val="10"/>
            <color rgb="FF000000"/>
            <rFont val="Tahoma"/>
            <family val="2"/>
          </rPr>
          <t xml:space="preserve">
</t>
        </r>
        <r>
          <rPr>
            <sz val="10"/>
            <color rgb="FF000000"/>
            <rFont val="Tahoma"/>
            <family val="2"/>
          </rPr>
          <t>Setting LDPE/LLDPE equal to zero, setting "Scrap Film Collection" equal to MRF collection in other studies. Based on Reviewer comments Sept. 2023</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Tommy Hendrickson</author>
  </authors>
  <commentList>
    <comment ref="P108" authorId="0" shapeId="0" xr:uid="{9FAE1B54-ECE4-D345-9501-FE08D9CD5660}">
      <text>
        <r>
          <rPr>
            <b/>
            <sz val="10"/>
            <color rgb="FF000000"/>
            <rFont val="Tahoma"/>
            <family val="2"/>
          </rPr>
          <t>Tommy Hendrickson:</t>
        </r>
        <r>
          <rPr>
            <sz val="10"/>
            <color rgb="FF000000"/>
            <rFont val="Tahoma"/>
            <family val="2"/>
          </rPr>
          <t xml:space="preserve">
</t>
        </r>
        <r>
          <rPr>
            <sz val="10"/>
            <color rgb="FF000000"/>
            <rFont val="Tahoma"/>
            <family val="2"/>
          </rPr>
          <t xml:space="preserve">81% of tire scrap recovered in 2017: https://www.ustires.org/scrap-tire-markets </t>
        </r>
      </text>
    </comment>
    <comment ref="P130" authorId="0" shapeId="0" xr:uid="{7A2C6F77-0E87-7A40-AFE1-DDFBD9703877}">
      <text>
        <r>
          <rPr>
            <b/>
            <sz val="10"/>
            <color rgb="FF000000"/>
            <rFont val="Tahoma"/>
            <family val="2"/>
          </rPr>
          <t>Tommy Hendrickson:</t>
        </r>
        <r>
          <rPr>
            <sz val="10"/>
            <color rgb="FF000000"/>
            <rFont val="Tahoma"/>
            <family val="2"/>
          </rPr>
          <t xml:space="preserve">
</t>
        </r>
        <r>
          <rPr>
            <sz val="10"/>
            <color rgb="FF000000"/>
            <rFont val="Tahoma"/>
            <family val="2"/>
          </rPr>
          <t xml:space="preserve">81% of tire scrap recovered in 2017: https://www.ustires.org/scrap-tire-markets </t>
        </r>
      </text>
    </comment>
    <comment ref="P151" authorId="0" shapeId="0" xr:uid="{79C957FC-D3C0-B24E-92DA-82E6462D3727}">
      <text>
        <r>
          <rPr>
            <b/>
            <sz val="10"/>
            <color rgb="FF000000"/>
            <rFont val="Tahoma"/>
            <family val="2"/>
          </rPr>
          <t>Tommy Hendrickson:</t>
        </r>
        <r>
          <rPr>
            <sz val="10"/>
            <color rgb="FF000000"/>
            <rFont val="Tahoma"/>
            <family val="2"/>
          </rPr>
          <t xml:space="preserve">
</t>
        </r>
        <r>
          <rPr>
            <sz val="10"/>
            <color rgb="FF000000"/>
            <rFont val="Tahoma"/>
            <family val="2"/>
          </rPr>
          <t xml:space="preserve">81% of tire scrap recovered in 2017: https://www.ustires.org/scrap-tire-markets </t>
        </r>
      </text>
    </comment>
    <comment ref="P173" authorId="0" shapeId="0" xr:uid="{3CC39F4D-500F-5342-B921-27FCEAEDB7E1}">
      <text>
        <r>
          <rPr>
            <b/>
            <sz val="10"/>
            <color rgb="FF000000"/>
            <rFont val="Tahoma"/>
            <family val="2"/>
          </rPr>
          <t>Tommy Hendrickson:</t>
        </r>
        <r>
          <rPr>
            <sz val="10"/>
            <color rgb="FF000000"/>
            <rFont val="Tahoma"/>
            <family val="2"/>
          </rPr>
          <t xml:space="preserve">
</t>
        </r>
        <r>
          <rPr>
            <sz val="10"/>
            <color rgb="FF000000"/>
            <rFont val="Tahoma"/>
            <family val="2"/>
          </rPr>
          <t xml:space="preserve">81% of tire scrap recovered in 2017: https://www.ustires.org/scrap-tire-markets </t>
        </r>
      </text>
    </comment>
    <comment ref="P194" authorId="0" shapeId="0" xr:uid="{8F2858DD-1A80-8644-B450-625B59DC4FCB}">
      <text>
        <r>
          <rPr>
            <b/>
            <sz val="10"/>
            <color rgb="FF000000"/>
            <rFont val="Tahoma"/>
            <family val="2"/>
          </rPr>
          <t>Tommy Hendrickson:</t>
        </r>
        <r>
          <rPr>
            <sz val="10"/>
            <color rgb="FF000000"/>
            <rFont val="Tahoma"/>
            <family val="2"/>
          </rPr>
          <t xml:space="preserve">
</t>
        </r>
        <r>
          <rPr>
            <sz val="10"/>
            <color rgb="FF000000"/>
            <rFont val="Tahoma"/>
            <family val="2"/>
          </rPr>
          <t xml:space="preserve">81% of tire scrap recovered in 2017: https://www.ustires.org/scrap-tire-markets </t>
        </r>
      </text>
    </comment>
    <comment ref="P214" authorId="0" shapeId="0" xr:uid="{79F8B31E-8727-E04F-B046-23DA9F4C1ED4}">
      <text>
        <r>
          <rPr>
            <b/>
            <sz val="10"/>
            <color rgb="FF000000"/>
            <rFont val="Tahoma"/>
            <family val="2"/>
          </rPr>
          <t>Tommy Hendrickson:</t>
        </r>
        <r>
          <rPr>
            <sz val="10"/>
            <color rgb="FF000000"/>
            <rFont val="Tahoma"/>
            <family val="2"/>
          </rPr>
          <t xml:space="preserve">
</t>
        </r>
        <r>
          <rPr>
            <sz val="10"/>
            <color rgb="FF000000"/>
            <rFont val="Tahoma"/>
            <family val="2"/>
          </rPr>
          <t xml:space="preserve">81% of tire scrap recovered in 2017: https://www.ustires.org/scrap-tire-markets </t>
        </r>
      </text>
    </comment>
    <comment ref="T249" authorId="0" shapeId="0" xr:uid="{79E64BBD-F135-3D4C-BC3A-2452D32D62BD}">
      <text>
        <r>
          <rPr>
            <b/>
            <sz val="10"/>
            <color rgb="FF000000"/>
            <rFont val="Tahoma"/>
            <family val="2"/>
          </rPr>
          <t>Tommy Hendrickson:</t>
        </r>
        <r>
          <rPr>
            <sz val="10"/>
            <color rgb="FF000000"/>
            <rFont val="Tahoma"/>
            <family val="2"/>
          </rPr>
          <t xml:space="preserve">
</t>
        </r>
        <r>
          <rPr>
            <sz val="10"/>
            <color rgb="FF000000"/>
            <rFont val="Tahoma"/>
            <family val="2"/>
          </rPr>
          <t>For films, this goes to "scrap film collection"</t>
        </r>
      </text>
    </comment>
    <comment ref="P261" authorId="0" shapeId="0" xr:uid="{00326B3E-D4A3-644F-BE9D-DA0D0AC235D2}">
      <text>
        <r>
          <rPr>
            <b/>
            <sz val="10"/>
            <color rgb="FF000000"/>
            <rFont val="Tahoma"/>
            <family val="2"/>
          </rPr>
          <t>Tommy Hendrickson:</t>
        </r>
        <r>
          <rPr>
            <sz val="10"/>
            <color rgb="FF000000"/>
            <rFont val="Tahoma"/>
            <family val="2"/>
          </rPr>
          <t xml:space="preserve">
</t>
        </r>
        <r>
          <rPr>
            <sz val="10"/>
            <color rgb="FF000000"/>
            <rFont val="Tahoma"/>
            <family val="2"/>
          </rPr>
          <t xml:space="preserve">81% of tire scrap recovered in 2017: https://www.ustires.org/scrap-tire-markets </t>
        </r>
      </text>
    </comment>
    <comment ref="T271" authorId="0" shapeId="0" xr:uid="{8310055C-050D-EE41-A273-0E06F2F18C13}">
      <text>
        <r>
          <rPr>
            <b/>
            <sz val="10"/>
            <color rgb="FF000000"/>
            <rFont val="Tahoma"/>
            <family val="2"/>
          </rPr>
          <t>Tommy Hendrickson:</t>
        </r>
        <r>
          <rPr>
            <sz val="10"/>
            <color rgb="FF000000"/>
            <rFont val="Tahoma"/>
            <family val="2"/>
          </rPr>
          <t xml:space="preserve">
</t>
        </r>
        <r>
          <rPr>
            <sz val="10"/>
            <color rgb="FF000000"/>
            <rFont val="Tahoma"/>
            <family val="2"/>
          </rPr>
          <t>For films, this goes to "scrap film collection"</t>
        </r>
      </text>
    </comment>
    <comment ref="P283" authorId="0" shapeId="0" xr:uid="{991192C7-5711-1E49-B351-DAD141CB2C23}">
      <text>
        <r>
          <rPr>
            <b/>
            <sz val="10"/>
            <color rgb="FF000000"/>
            <rFont val="Tahoma"/>
            <family val="2"/>
          </rPr>
          <t>Tommy Hendrickson:</t>
        </r>
        <r>
          <rPr>
            <sz val="10"/>
            <color rgb="FF000000"/>
            <rFont val="Tahoma"/>
            <family val="2"/>
          </rPr>
          <t xml:space="preserve">
</t>
        </r>
        <r>
          <rPr>
            <sz val="10"/>
            <color rgb="FF000000"/>
            <rFont val="Tahoma"/>
            <family val="2"/>
          </rPr>
          <t xml:space="preserve">81% of tire scrap recovered in 2017: https://www.ustires.org/scrap-tire-markets </t>
        </r>
      </text>
    </comment>
    <comment ref="T292" authorId="0" shapeId="0" xr:uid="{C1D14E69-A819-6742-8548-3969DB74B773}">
      <text>
        <r>
          <rPr>
            <b/>
            <sz val="10"/>
            <color rgb="FF000000"/>
            <rFont val="Tahoma"/>
            <family val="2"/>
          </rPr>
          <t>Tommy Hendrickson:</t>
        </r>
        <r>
          <rPr>
            <sz val="10"/>
            <color rgb="FF000000"/>
            <rFont val="Tahoma"/>
            <family val="2"/>
          </rPr>
          <t xml:space="preserve">
</t>
        </r>
        <r>
          <rPr>
            <sz val="10"/>
            <color rgb="FF000000"/>
            <rFont val="Tahoma"/>
            <family val="2"/>
          </rPr>
          <t>For films, this goes to "scrap film collection"</t>
        </r>
      </text>
    </comment>
    <comment ref="P304" authorId="0" shapeId="0" xr:uid="{0F3DE05C-BFC6-1D41-82BA-58EDC0FB46FB}">
      <text>
        <r>
          <rPr>
            <b/>
            <sz val="10"/>
            <color rgb="FF000000"/>
            <rFont val="Tahoma"/>
            <family val="2"/>
          </rPr>
          <t>Tommy Hendrickson:</t>
        </r>
        <r>
          <rPr>
            <sz val="10"/>
            <color rgb="FF000000"/>
            <rFont val="Tahoma"/>
            <family val="2"/>
          </rPr>
          <t xml:space="preserve">
</t>
        </r>
        <r>
          <rPr>
            <sz val="10"/>
            <color rgb="FF000000"/>
            <rFont val="Tahoma"/>
            <family val="2"/>
          </rPr>
          <t xml:space="preserve">81% of tire scrap recovered in 2017: https://www.ustires.org/scrap-tire-markets </t>
        </r>
      </text>
    </comment>
    <comment ref="T314" authorId="0" shapeId="0" xr:uid="{2522BAFA-14C3-6C41-BAE2-EACDD5DDEE0D}">
      <text>
        <r>
          <rPr>
            <b/>
            <sz val="10"/>
            <color rgb="FF000000"/>
            <rFont val="Tahoma"/>
            <family val="2"/>
          </rPr>
          <t>Tommy Hendrickson:</t>
        </r>
        <r>
          <rPr>
            <sz val="10"/>
            <color rgb="FF000000"/>
            <rFont val="Tahoma"/>
            <family val="2"/>
          </rPr>
          <t xml:space="preserve">
</t>
        </r>
        <r>
          <rPr>
            <sz val="10"/>
            <color rgb="FF000000"/>
            <rFont val="Tahoma"/>
            <family val="2"/>
          </rPr>
          <t>For films, this goes to "scrap film collection"</t>
        </r>
      </text>
    </comment>
    <comment ref="P326" authorId="0" shapeId="0" xr:uid="{1C3BD7A9-5809-B04B-AF0D-2A4B0848F479}">
      <text>
        <r>
          <rPr>
            <b/>
            <sz val="10"/>
            <color rgb="FF000000"/>
            <rFont val="Tahoma"/>
            <family val="2"/>
          </rPr>
          <t>Tommy Hendrickson:</t>
        </r>
        <r>
          <rPr>
            <sz val="10"/>
            <color rgb="FF000000"/>
            <rFont val="Tahoma"/>
            <family val="2"/>
          </rPr>
          <t xml:space="preserve">
</t>
        </r>
        <r>
          <rPr>
            <sz val="10"/>
            <color rgb="FF000000"/>
            <rFont val="Tahoma"/>
            <family val="2"/>
          </rPr>
          <t xml:space="preserve">81% of tire scrap recovered in 2017: https://www.ustires.org/scrap-tire-markets </t>
        </r>
      </text>
    </comment>
    <comment ref="T335" authorId="0" shapeId="0" xr:uid="{35A91DAA-19BE-304C-9701-997E42F91227}">
      <text>
        <r>
          <rPr>
            <b/>
            <sz val="10"/>
            <color rgb="FF000000"/>
            <rFont val="Tahoma"/>
            <family val="2"/>
          </rPr>
          <t>Tommy Hendrickson:</t>
        </r>
        <r>
          <rPr>
            <sz val="10"/>
            <color rgb="FF000000"/>
            <rFont val="Tahoma"/>
            <family val="2"/>
          </rPr>
          <t xml:space="preserve">
</t>
        </r>
        <r>
          <rPr>
            <sz val="10"/>
            <color rgb="FF000000"/>
            <rFont val="Tahoma"/>
            <family val="2"/>
          </rPr>
          <t>For films, this goes to "scrap film collection"</t>
        </r>
      </text>
    </comment>
    <comment ref="P347" authorId="0" shapeId="0" xr:uid="{D7C811CC-2C44-1A46-B9AB-DEFFFC3B7BDF}">
      <text>
        <r>
          <rPr>
            <b/>
            <sz val="10"/>
            <color rgb="FF000000"/>
            <rFont val="Tahoma"/>
            <family val="2"/>
          </rPr>
          <t>Tommy Hendrickson:</t>
        </r>
        <r>
          <rPr>
            <sz val="10"/>
            <color rgb="FF000000"/>
            <rFont val="Tahoma"/>
            <family val="2"/>
          </rPr>
          <t xml:space="preserve">
</t>
        </r>
        <r>
          <rPr>
            <sz val="10"/>
            <color rgb="FF000000"/>
            <rFont val="Tahoma"/>
            <family val="2"/>
          </rPr>
          <t xml:space="preserve">81% of tire scrap recovered in 2017: https://www.ustires.org/scrap-tire-markets </t>
        </r>
      </text>
    </comment>
    <comment ref="T355" authorId="0" shapeId="0" xr:uid="{87F1A4DC-533F-5945-9D40-91627B8B1527}">
      <text>
        <r>
          <rPr>
            <b/>
            <sz val="10"/>
            <color rgb="FF000000"/>
            <rFont val="Tahoma"/>
            <family val="2"/>
          </rPr>
          <t>Tommy Hendrickson:</t>
        </r>
        <r>
          <rPr>
            <sz val="10"/>
            <color rgb="FF000000"/>
            <rFont val="Tahoma"/>
            <family val="2"/>
          </rPr>
          <t xml:space="preserve">
</t>
        </r>
        <r>
          <rPr>
            <sz val="10"/>
            <color rgb="FF000000"/>
            <rFont val="Tahoma"/>
            <family val="2"/>
          </rPr>
          <t>For films, this goes to "scrap film collection"</t>
        </r>
      </text>
    </comment>
    <comment ref="P367" authorId="0" shapeId="0" xr:uid="{312ACBB3-21AE-8B4F-AE45-CD176F76ECB9}">
      <text>
        <r>
          <rPr>
            <b/>
            <sz val="10"/>
            <color rgb="FF000000"/>
            <rFont val="Tahoma"/>
            <family val="2"/>
          </rPr>
          <t>Tommy Hendrickson:</t>
        </r>
        <r>
          <rPr>
            <sz val="10"/>
            <color rgb="FF000000"/>
            <rFont val="Tahoma"/>
            <family val="2"/>
          </rPr>
          <t xml:space="preserve">
</t>
        </r>
        <r>
          <rPr>
            <sz val="10"/>
            <color rgb="FF000000"/>
            <rFont val="Tahoma"/>
            <family val="2"/>
          </rPr>
          <t xml:space="preserve">81% of tire scrap recovered in 2017: https://www.ustires.org/scrap-tire-markets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Tommy Hendrickson</author>
    <author>Microsoft Office User</author>
  </authors>
  <commentList>
    <comment ref="F3" authorId="0" shapeId="0" xr:uid="{D4611E6B-AFFF-6C41-A92D-DCDC21A01590}">
      <text>
        <r>
          <rPr>
            <b/>
            <sz val="10"/>
            <color rgb="FF000000"/>
            <rFont val="Tahoma"/>
            <family val="2"/>
          </rPr>
          <t>Tommy Hendrickson:</t>
        </r>
        <r>
          <rPr>
            <sz val="10"/>
            <color rgb="FF000000"/>
            <rFont val="Tahoma"/>
            <family val="2"/>
          </rPr>
          <t xml:space="preserve">
</t>
        </r>
        <r>
          <rPr>
            <sz val="10"/>
            <color rgb="FF000000"/>
            <rFont val="Tahoma"/>
            <family val="2"/>
          </rPr>
          <t>11/9/22 - Adjusted this methodology to take flows from "Resins for Disposal" in EOL tab. Needed to exclude Exports in categorizing flows from use.</t>
        </r>
      </text>
    </comment>
    <comment ref="C14" authorId="1" shapeId="0" xr:uid="{70547794-FF68-6C4D-A128-9BF464A0AF61}">
      <text>
        <r>
          <rPr>
            <b/>
            <sz val="10"/>
            <color rgb="FF000000"/>
            <rFont val="Tahoma"/>
            <family val="2"/>
          </rPr>
          <t>Microsoft Office User:</t>
        </r>
        <r>
          <rPr>
            <sz val="10"/>
            <color rgb="FF000000"/>
            <rFont val="Tahoma"/>
            <family val="2"/>
          </rPr>
          <t xml:space="preserve">
</t>
        </r>
        <r>
          <rPr>
            <sz val="10"/>
            <color rgb="FF000000"/>
            <rFont val="Tahoma"/>
            <family val="2"/>
          </rPr>
          <t>No data on end-of-life for exports - removed from end-of-life calcs</t>
        </r>
      </text>
    </comment>
    <comment ref="C25" authorId="1" shapeId="0" xr:uid="{635C3453-B6DD-574D-B19F-DFBC0AEE80A5}">
      <text>
        <r>
          <rPr>
            <b/>
            <sz val="10"/>
            <color rgb="FF000000"/>
            <rFont val="Tahoma"/>
            <family val="2"/>
          </rPr>
          <t>Microsoft Office User:</t>
        </r>
        <r>
          <rPr>
            <sz val="10"/>
            <color rgb="FF000000"/>
            <rFont val="Tahoma"/>
            <family val="2"/>
          </rPr>
          <t xml:space="preserve">
</t>
        </r>
        <r>
          <rPr>
            <sz val="10"/>
            <color rgb="FF000000"/>
            <rFont val="Tahoma"/>
            <family val="2"/>
          </rPr>
          <t>No data on end-of-life for exports - removed from end-of-life calcs</t>
        </r>
      </text>
    </comment>
    <comment ref="C35" authorId="1" shapeId="0" xr:uid="{6D15A0D2-09FD-EA44-867B-135583838E7D}">
      <text>
        <r>
          <rPr>
            <b/>
            <sz val="10"/>
            <color rgb="FF000000"/>
            <rFont val="Tahoma"/>
            <family val="2"/>
          </rPr>
          <t>Microsoft Office User:</t>
        </r>
        <r>
          <rPr>
            <sz val="10"/>
            <color rgb="FF000000"/>
            <rFont val="Tahoma"/>
            <family val="2"/>
          </rPr>
          <t xml:space="preserve">
</t>
        </r>
        <r>
          <rPr>
            <sz val="10"/>
            <color rgb="FF000000"/>
            <rFont val="Tahoma"/>
            <family val="2"/>
          </rPr>
          <t>No data on end-of-life for exports - removed from end-of-life calcs</t>
        </r>
      </text>
    </comment>
    <comment ref="C50" authorId="1" shapeId="0" xr:uid="{035A3080-0038-B540-AF5D-3D1D24407232}">
      <text>
        <r>
          <rPr>
            <b/>
            <sz val="10"/>
            <color rgb="FF000000"/>
            <rFont val="Tahoma"/>
            <family val="2"/>
          </rPr>
          <t>Microsoft Office User:</t>
        </r>
        <r>
          <rPr>
            <sz val="10"/>
            <color rgb="FF000000"/>
            <rFont val="Tahoma"/>
            <family val="2"/>
          </rPr>
          <t xml:space="preserve">
</t>
        </r>
        <r>
          <rPr>
            <sz val="10"/>
            <color rgb="FF000000"/>
            <rFont val="Tahoma"/>
            <family val="2"/>
          </rPr>
          <t>No data on end-of-life for exports - removed from end-of-life calcs</t>
        </r>
      </text>
    </comment>
    <comment ref="C60" authorId="1" shapeId="0" xr:uid="{76D64F6A-6676-8946-BFB5-17DCBC600D50}">
      <text>
        <r>
          <rPr>
            <b/>
            <sz val="10"/>
            <color rgb="FF000000"/>
            <rFont val="Tahoma"/>
            <family val="2"/>
          </rPr>
          <t>Microsoft Office User:</t>
        </r>
        <r>
          <rPr>
            <sz val="10"/>
            <color rgb="FF000000"/>
            <rFont val="Tahoma"/>
            <family val="2"/>
          </rPr>
          <t xml:space="preserve">
</t>
        </r>
        <r>
          <rPr>
            <sz val="10"/>
            <color rgb="FF000000"/>
            <rFont val="Tahoma"/>
            <family val="2"/>
          </rPr>
          <t>No data on end-of-life for exports - removed from end-of-life calcs</t>
        </r>
      </text>
    </comment>
    <comment ref="C70" authorId="1" shapeId="0" xr:uid="{0F253DAD-0E92-D448-85BC-A7772D1C1B17}">
      <text>
        <r>
          <rPr>
            <b/>
            <sz val="10"/>
            <color rgb="FF000000"/>
            <rFont val="Tahoma"/>
            <family val="2"/>
          </rPr>
          <t>Microsoft Office User:</t>
        </r>
        <r>
          <rPr>
            <sz val="10"/>
            <color rgb="FF000000"/>
            <rFont val="Tahoma"/>
            <family val="2"/>
          </rPr>
          <t xml:space="preserve">
</t>
        </r>
        <r>
          <rPr>
            <sz val="10"/>
            <color rgb="FF000000"/>
            <rFont val="Tahoma"/>
            <family val="2"/>
          </rPr>
          <t>No data on end-of-life for exports - removed from end-of-life calcs</t>
        </r>
      </text>
    </comment>
    <comment ref="E86" authorId="0" shapeId="0" xr:uid="{61547898-2F9A-9C47-9125-ED57D0810DFF}">
      <text>
        <r>
          <rPr>
            <b/>
            <sz val="10"/>
            <color rgb="FF000000"/>
            <rFont val="Tahoma"/>
            <family val="2"/>
          </rPr>
          <t>Tommy Hendrickson:</t>
        </r>
        <r>
          <rPr>
            <sz val="10"/>
            <color rgb="FF000000"/>
            <rFont val="Tahoma"/>
            <family val="2"/>
          </rPr>
          <t xml:space="preserve">
</t>
        </r>
        <r>
          <rPr>
            <sz val="10"/>
            <color rgb="FF000000"/>
            <rFont val="Tahoma"/>
            <family val="2"/>
          </rPr>
          <t>Check "dataforsankey" tab on how this was calculated for EOL in final sankey, this is taking into account exports and skewing things</t>
        </r>
      </text>
    </comment>
    <comment ref="C116" authorId="1" shapeId="0" xr:uid="{99963973-188D-C841-8F79-9D12CC3DDBB4}">
      <text>
        <r>
          <rPr>
            <b/>
            <sz val="10"/>
            <color rgb="FF000000"/>
            <rFont val="Tahoma"/>
            <family val="2"/>
          </rPr>
          <t>Microsoft Office User:</t>
        </r>
        <r>
          <rPr>
            <sz val="10"/>
            <color rgb="FF000000"/>
            <rFont val="Tahoma"/>
            <family val="2"/>
          </rPr>
          <t xml:space="preserve">
</t>
        </r>
        <r>
          <rPr>
            <sz val="10"/>
            <color rgb="FF000000"/>
            <rFont val="Tahoma"/>
            <family val="2"/>
          </rPr>
          <t>No data on end-of-life for exports - removed from end-of-life calcs</t>
        </r>
      </text>
    </comment>
    <comment ref="C131" authorId="1" shapeId="0" xr:uid="{BB8ECEF4-91B4-894F-A30F-3B85A657E654}">
      <text>
        <r>
          <rPr>
            <b/>
            <sz val="10"/>
            <color rgb="FF000000"/>
            <rFont val="Tahoma"/>
            <family val="2"/>
          </rPr>
          <t>Microsoft Office User:</t>
        </r>
        <r>
          <rPr>
            <sz val="10"/>
            <color rgb="FF000000"/>
            <rFont val="Tahoma"/>
            <family val="2"/>
          </rPr>
          <t xml:space="preserve">
</t>
        </r>
        <r>
          <rPr>
            <sz val="10"/>
            <color rgb="FF000000"/>
            <rFont val="Tahoma"/>
            <family val="2"/>
          </rPr>
          <t>No data on end-of-life for exports - removed from end-of-life calcs</t>
        </r>
      </text>
    </comment>
    <comment ref="C141" authorId="1" shapeId="0" xr:uid="{1C364CA4-E4EB-D641-989B-2C1605CACDB7}">
      <text>
        <r>
          <rPr>
            <b/>
            <sz val="10"/>
            <color rgb="FF000000"/>
            <rFont val="Tahoma"/>
            <family val="2"/>
          </rPr>
          <t>Microsoft Office User:</t>
        </r>
        <r>
          <rPr>
            <sz val="10"/>
            <color rgb="FF000000"/>
            <rFont val="Tahoma"/>
            <family val="2"/>
          </rPr>
          <t xml:space="preserve">
</t>
        </r>
        <r>
          <rPr>
            <sz val="10"/>
            <color rgb="FF000000"/>
            <rFont val="Tahoma"/>
            <family val="2"/>
          </rPr>
          <t>No data on end-of-life for exports - removed from end-of-life calcs</t>
        </r>
      </text>
    </comment>
    <comment ref="C152" authorId="1" shapeId="0" xr:uid="{AAE3B276-AFE0-304E-8E53-EE59D81C6120}">
      <text>
        <r>
          <rPr>
            <b/>
            <sz val="10"/>
            <color rgb="FF000000"/>
            <rFont val="Tahoma"/>
            <family val="2"/>
          </rPr>
          <t>Microsoft Office User:</t>
        </r>
        <r>
          <rPr>
            <sz val="10"/>
            <color rgb="FF000000"/>
            <rFont val="Tahoma"/>
            <family val="2"/>
          </rPr>
          <t xml:space="preserve">
</t>
        </r>
        <r>
          <rPr>
            <sz val="10"/>
            <color rgb="FF000000"/>
            <rFont val="Tahoma"/>
            <family val="2"/>
          </rPr>
          <t>No data on end-of-life for exports - removed from end-of-life calcs</t>
        </r>
      </text>
    </comment>
    <comment ref="C167" authorId="1" shapeId="0" xr:uid="{C8335D7B-BCCC-0140-85C8-F6AE0CAEB694}">
      <text>
        <r>
          <rPr>
            <b/>
            <sz val="10"/>
            <color rgb="FF000000"/>
            <rFont val="Tahoma"/>
            <family val="2"/>
          </rPr>
          <t>Microsoft Office User:</t>
        </r>
        <r>
          <rPr>
            <sz val="10"/>
            <color rgb="FF000000"/>
            <rFont val="Tahoma"/>
            <family val="2"/>
          </rPr>
          <t xml:space="preserve">
</t>
        </r>
        <r>
          <rPr>
            <sz val="10"/>
            <color rgb="FF000000"/>
            <rFont val="Tahoma"/>
            <family val="2"/>
          </rPr>
          <t>No data on end-of-life for exports - removed from end-of-life calcs</t>
        </r>
      </text>
    </comment>
    <comment ref="C177" authorId="1" shapeId="0" xr:uid="{C31351E0-14BB-1B46-9506-54AA8BAB18A2}">
      <text>
        <r>
          <rPr>
            <b/>
            <sz val="10"/>
            <color rgb="FF000000"/>
            <rFont val="Tahoma"/>
            <family val="2"/>
          </rPr>
          <t>Microsoft Office User:</t>
        </r>
        <r>
          <rPr>
            <sz val="10"/>
            <color rgb="FF000000"/>
            <rFont val="Tahoma"/>
            <family val="2"/>
          </rPr>
          <t xml:space="preserve">
</t>
        </r>
        <r>
          <rPr>
            <sz val="10"/>
            <color rgb="FF000000"/>
            <rFont val="Tahoma"/>
            <family val="2"/>
          </rPr>
          <t>No data on end-of-life for exports - removed from end-of-life calcs</t>
        </r>
      </text>
    </comment>
    <comment ref="C188" authorId="1" shapeId="0" xr:uid="{C25E293A-C30C-DA47-A4FA-94E0D6185275}">
      <text>
        <r>
          <rPr>
            <b/>
            <sz val="10"/>
            <color rgb="FF000000"/>
            <rFont val="Tahoma"/>
            <family val="2"/>
          </rPr>
          <t>Microsoft Office User:</t>
        </r>
        <r>
          <rPr>
            <sz val="10"/>
            <color rgb="FF000000"/>
            <rFont val="Tahoma"/>
            <family val="2"/>
          </rPr>
          <t xml:space="preserve">
</t>
        </r>
        <r>
          <rPr>
            <sz val="10"/>
            <color rgb="FF000000"/>
            <rFont val="Tahoma"/>
            <family val="2"/>
          </rPr>
          <t>No data on end-of-life for exports - removed from end-of-life calcs</t>
        </r>
      </text>
    </comment>
    <comment ref="C203" authorId="1" shapeId="0" xr:uid="{E42143CA-4499-0644-B100-C5E278A1AC4F}">
      <text>
        <r>
          <rPr>
            <b/>
            <sz val="10"/>
            <color rgb="FF000000"/>
            <rFont val="Tahoma"/>
            <family val="2"/>
          </rPr>
          <t>Microsoft Office User:</t>
        </r>
        <r>
          <rPr>
            <sz val="10"/>
            <color rgb="FF000000"/>
            <rFont val="Tahoma"/>
            <family val="2"/>
          </rPr>
          <t xml:space="preserve">
</t>
        </r>
        <r>
          <rPr>
            <sz val="10"/>
            <color rgb="FF000000"/>
            <rFont val="Tahoma"/>
            <family val="2"/>
          </rPr>
          <t>No data on end-of-life for exports - removed from end-of-life calcs</t>
        </r>
      </text>
    </comment>
    <comment ref="C213" authorId="1" shapeId="0" xr:uid="{17CCEAF7-DC3F-AD41-B943-59AE2F9103DA}">
      <text>
        <r>
          <rPr>
            <b/>
            <sz val="10"/>
            <color rgb="FF000000"/>
            <rFont val="Tahoma"/>
            <family val="2"/>
          </rPr>
          <t>Microsoft Office User:</t>
        </r>
        <r>
          <rPr>
            <sz val="10"/>
            <color rgb="FF000000"/>
            <rFont val="Tahoma"/>
            <family val="2"/>
          </rPr>
          <t xml:space="preserve">
</t>
        </r>
        <r>
          <rPr>
            <sz val="10"/>
            <color rgb="FF000000"/>
            <rFont val="Tahoma"/>
            <family val="2"/>
          </rPr>
          <t>No data on end-of-life for exports - removed from end-of-life calcs</t>
        </r>
      </text>
    </comment>
    <comment ref="C224" authorId="1" shapeId="0" xr:uid="{A9A657CF-695C-5D44-92E6-897531AC7AF4}">
      <text>
        <r>
          <rPr>
            <b/>
            <sz val="10"/>
            <color rgb="FF000000"/>
            <rFont val="Tahoma"/>
            <family val="2"/>
          </rPr>
          <t>Microsoft Office User:</t>
        </r>
        <r>
          <rPr>
            <sz val="10"/>
            <color rgb="FF000000"/>
            <rFont val="Tahoma"/>
            <family val="2"/>
          </rPr>
          <t xml:space="preserve">
</t>
        </r>
        <r>
          <rPr>
            <sz val="10"/>
            <color rgb="FF000000"/>
            <rFont val="Tahoma"/>
            <family val="2"/>
          </rPr>
          <t>No data on end-of-life for exports - removed from end-of-life calcs</t>
        </r>
      </text>
    </comment>
    <comment ref="C239" authorId="1" shapeId="0" xr:uid="{324CA11E-C67C-CE47-8696-B3CEDE6D7934}">
      <text>
        <r>
          <rPr>
            <b/>
            <sz val="10"/>
            <color rgb="FF000000"/>
            <rFont val="Tahoma"/>
            <family val="2"/>
          </rPr>
          <t>Microsoft Office User:</t>
        </r>
        <r>
          <rPr>
            <sz val="10"/>
            <color rgb="FF000000"/>
            <rFont val="Tahoma"/>
            <family val="2"/>
          </rPr>
          <t xml:space="preserve">
</t>
        </r>
        <r>
          <rPr>
            <sz val="10"/>
            <color rgb="FF000000"/>
            <rFont val="Tahoma"/>
            <family val="2"/>
          </rPr>
          <t>No data on end-of-life for exports - removed from end-of-life calcs</t>
        </r>
      </text>
    </comment>
    <comment ref="C249" authorId="1" shapeId="0" xr:uid="{9F3D78E7-09B5-784D-A1CD-6AAAA8158EB1}">
      <text>
        <r>
          <rPr>
            <b/>
            <sz val="10"/>
            <color rgb="FF000000"/>
            <rFont val="Tahoma"/>
            <family val="2"/>
          </rPr>
          <t>Microsoft Office User:</t>
        </r>
        <r>
          <rPr>
            <sz val="10"/>
            <color rgb="FF000000"/>
            <rFont val="Tahoma"/>
            <family val="2"/>
          </rPr>
          <t xml:space="preserve">
</t>
        </r>
        <r>
          <rPr>
            <sz val="10"/>
            <color rgb="FF000000"/>
            <rFont val="Tahoma"/>
            <family val="2"/>
          </rPr>
          <t>No data on end-of-life for exports - removed from end-of-life calcs</t>
        </r>
      </text>
    </comment>
    <comment ref="C259" authorId="1" shapeId="0" xr:uid="{5F588ECF-D28B-1044-815E-3B1423D12285}">
      <text>
        <r>
          <rPr>
            <b/>
            <sz val="10"/>
            <color rgb="FF000000"/>
            <rFont val="Tahoma"/>
            <family val="2"/>
          </rPr>
          <t>Microsoft Office User:</t>
        </r>
        <r>
          <rPr>
            <sz val="10"/>
            <color rgb="FF000000"/>
            <rFont val="Tahoma"/>
            <family val="2"/>
          </rPr>
          <t xml:space="preserve">
</t>
        </r>
        <r>
          <rPr>
            <sz val="10"/>
            <color rgb="FF000000"/>
            <rFont val="Tahoma"/>
            <family val="2"/>
          </rPr>
          <t>No data on end-of-life for exports - removed from end-of-life calcs</t>
        </r>
      </text>
    </comment>
    <comment ref="C274" authorId="1" shapeId="0" xr:uid="{B9888D71-7AAA-D447-B6A3-51B5FB537323}">
      <text>
        <r>
          <rPr>
            <b/>
            <sz val="10"/>
            <color rgb="FF000000"/>
            <rFont val="Tahoma"/>
            <family val="2"/>
          </rPr>
          <t>Microsoft Office User:</t>
        </r>
        <r>
          <rPr>
            <sz val="10"/>
            <color rgb="FF000000"/>
            <rFont val="Tahoma"/>
            <family val="2"/>
          </rPr>
          <t xml:space="preserve">
</t>
        </r>
        <r>
          <rPr>
            <sz val="10"/>
            <color rgb="FF000000"/>
            <rFont val="Tahoma"/>
            <family val="2"/>
          </rPr>
          <t>No data on end-of-life for exports - removed from end-of-life calcs</t>
        </r>
      </text>
    </comment>
    <comment ref="C284" authorId="1" shapeId="0" xr:uid="{4EFD42A2-2746-D148-8C65-3AB0FFEA7CC0}">
      <text>
        <r>
          <rPr>
            <b/>
            <sz val="10"/>
            <color rgb="FF000000"/>
            <rFont val="Tahoma"/>
            <family val="2"/>
          </rPr>
          <t>Microsoft Office User:</t>
        </r>
        <r>
          <rPr>
            <sz val="10"/>
            <color rgb="FF000000"/>
            <rFont val="Tahoma"/>
            <family val="2"/>
          </rPr>
          <t xml:space="preserve">
</t>
        </r>
        <r>
          <rPr>
            <sz val="10"/>
            <color rgb="FF000000"/>
            <rFont val="Tahoma"/>
            <family val="2"/>
          </rPr>
          <t>No data on end-of-life for exports - removed from end-of-life calcs</t>
        </r>
      </text>
    </comment>
    <comment ref="C294" authorId="1" shapeId="0" xr:uid="{C70F5C59-B2F7-8649-806E-C242A673E866}">
      <text>
        <r>
          <rPr>
            <b/>
            <sz val="10"/>
            <color rgb="FF000000"/>
            <rFont val="Tahoma"/>
            <family val="2"/>
          </rPr>
          <t>Microsoft Office User:</t>
        </r>
        <r>
          <rPr>
            <sz val="10"/>
            <color rgb="FF000000"/>
            <rFont val="Tahoma"/>
            <family val="2"/>
          </rPr>
          <t xml:space="preserve">
</t>
        </r>
        <r>
          <rPr>
            <sz val="10"/>
            <color rgb="FF000000"/>
            <rFont val="Tahoma"/>
            <family val="2"/>
          </rPr>
          <t>No data on end-of-life for exports - removed from end-of-life calcs</t>
        </r>
      </text>
    </comment>
    <comment ref="C309" authorId="1" shapeId="0" xr:uid="{EB2BCB98-77F6-AA44-BD45-C1C4094238CA}">
      <text>
        <r>
          <rPr>
            <b/>
            <sz val="10"/>
            <color rgb="FF000000"/>
            <rFont val="Tahoma"/>
            <family val="2"/>
          </rPr>
          <t>Microsoft Office User:</t>
        </r>
        <r>
          <rPr>
            <sz val="10"/>
            <color rgb="FF000000"/>
            <rFont val="Tahoma"/>
            <family val="2"/>
          </rPr>
          <t xml:space="preserve">
</t>
        </r>
        <r>
          <rPr>
            <sz val="10"/>
            <color rgb="FF000000"/>
            <rFont val="Tahoma"/>
            <family val="2"/>
          </rPr>
          <t>No data on end-of-life for exports - removed from end-of-life calcs</t>
        </r>
      </text>
    </comment>
    <comment ref="C319" authorId="1" shapeId="0" xr:uid="{05C4FBA0-9549-0B41-A3BA-9990F525A766}">
      <text>
        <r>
          <rPr>
            <b/>
            <sz val="10"/>
            <color rgb="FF000000"/>
            <rFont val="Tahoma"/>
            <family val="2"/>
          </rPr>
          <t>Microsoft Office User:</t>
        </r>
        <r>
          <rPr>
            <sz val="10"/>
            <color rgb="FF000000"/>
            <rFont val="Tahoma"/>
            <family val="2"/>
          </rPr>
          <t xml:space="preserve">
</t>
        </r>
        <r>
          <rPr>
            <sz val="10"/>
            <color rgb="FF000000"/>
            <rFont val="Tahoma"/>
            <family val="2"/>
          </rPr>
          <t>No data on end-of-life for exports - removed from end-of-life calcs</t>
        </r>
      </text>
    </comment>
    <comment ref="C329" authorId="1" shapeId="0" xr:uid="{CAF01E2C-DF8C-994D-B15B-ADF2B632DF60}">
      <text>
        <r>
          <rPr>
            <b/>
            <sz val="10"/>
            <color rgb="FF000000"/>
            <rFont val="Tahoma"/>
            <family val="2"/>
          </rPr>
          <t>Microsoft Office User:</t>
        </r>
        <r>
          <rPr>
            <sz val="10"/>
            <color rgb="FF000000"/>
            <rFont val="Tahoma"/>
            <family val="2"/>
          </rPr>
          <t xml:space="preserve">
</t>
        </r>
        <r>
          <rPr>
            <sz val="10"/>
            <color rgb="FF000000"/>
            <rFont val="Tahoma"/>
            <family val="2"/>
          </rPr>
          <t>No data on end-of-life for exports - removed from end-of-life calcs</t>
        </r>
      </text>
    </comment>
    <comment ref="C344" authorId="1" shapeId="0" xr:uid="{3F03AF86-D44E-9041-90CA-6FD8C4A84267}">
      <text>
        <r>
          <rPr>
            <b/>
            <sz val="10"/>
            <color rgb="FF000000"/>
            <rFont val="Tahoma"/>
            <family val="2"/>
          </rPr>
          <t>Microsoft Office User:</t>
        </r>
        <r>
          <rPr>
            <sz val="10"/>
            <color rgb="FF000000"/>
            <rFont val="Tahoma"/>
            <family val="2"/>
          </rPr>
          <t xml:space="preserve">
</t>
        </r>
        <r>
          <rPr>
            <sz val="10"/>
            <color rgb="FF000000"/>
            <rFont val="Tahoma"/>
            <family val="2"/>
          </rPr>
          <t>No data on end-of-life for exports - removed from end-of-life calcs</t>
        </r>
      </text>
    </comment>
    <comment ref="C354" authorId="1" shapeId="0" xr:uid="{60599748-22D5-4A43-B976-60416A516874}">
      <text>
        <r>
          <rPr>
            <b/>
            <sz val="10"/>
            <color rgb="FF000000"/>
            <rFont val="Tahoma"/>
            <family val="2"/>
          </rPr>
          <t>Microsoft Office User:</t>
        </r>
        <r>
          <rPr>
            <sz val="10"/>
            <color rgb="FF000000"/>
            <rFont val="Tahoma"/>
            <family val="2"/>
          </rPr>
          <t xml:space="preserve">
</t>
        </r>
        <r>
          <rPr>
            <sz val="10"/>
            <color rgb="FF000000"/>
            <rFont val="Tahoma"/>
            <family val="2"/>
          </rPr>
          <t>No data on end-of-life for exports - removed from end-of-life calcs</t>
        </r>
      </text>
    </comment>
    <comment ref="C364" authorId="1" shapeId="0" xr:uid="{2894B3A3-0880-9A40-B916-3666F3E00555}">
      <text>
        <r>
          <rPr>
            <b/>
            <sz val="10"/>
            <color rgb="FF000000"/>
            <rFont val="Tahoma"/>
            <family val="2"/>
          </rPr>
          <t>Microsoft Office User:</t>
        </r>
        <r>
          <rPr>
            <sz val="10"/>
            <color rgb="FF000000"/>
            <rFont val="Tahoma"/>
            <family val="2"/>
          </rPr>
          <t xml:space="preserve">
</t>
        </r>
        <r>
          <rPr>
            <sz val="10"/>
            <color rgb="FF000000"/>
            <rFont val="Tahoma"/>
            <family val="2"/>
          </rPr>
          <t>No data on end-of-life for exports - removed from end-of-life calcs</t>
        </r>
      </text>
    </comment>
    <comment ref="C379" authorId="1" shapeId="0" xr:uid="{26F15551-9A55-5F4E-B71B-AAEDD3716140}">
      <text>
        <r>
          <rPr>
            <b/>
            <sz val="10"/>
            <color rgb="FF000000"/>
            <rFont val="Tahoma"/>
            <family val="2"/>
          </rPr>
          <t>Microsoft Office User:</t>
        </r>
        <r>
          <rPr>
            <sz val="10"/>
            <color rgb="FF000000"/>
            <rFont val="Tahoma"/>
            <family val="2"/>
          </rPr>
          <t xml:space="preserve">
</t>
        </r>
        <r>
          <rPr>
            <sz val="10"/>
            <color rgb="FF000000"/>
            <rFont val="Tahoma"/>
            <family val="2"/>
          </rPr>
          <t>No data on end-of-life for exports - removed from end-of-life calcs</t>
        </r>
      </text>
    </comment>
    <comment ref="C389" authorId="1" shapeId="0" xr:uid="{471436AE-8092-594C-A56A-9721707F9F01}">
      <text>
        <r>
          <rPr>
            <b/>
            <sz val="10"/>
            <color rgb="FF000000"/>
            <rFont val="Tahoma"/>
            <family val="2"/>
          </rPr>
          <t>Microsoft Office User:</t>
        </r>
        <r>
          <rPr>
            <sz val="10"/>
            <color rgb="FF000000"/>
            <rFont val="Tahoma"/>
            <family val="2"/>
          </rPr>
          <t xml:space="preserve">
</t>
        </r>
        <r>
          <rPr>
            <sz val="10"/>
            <color rgb="FF000000"/>
            <rFont val="Tahoma"/>
            <family val="2"/>
          </rPr>
          <t>No data on end-of-life for exports - removed from end-of-life calcs</t>
        </r>
      </text>
    </comment>
    <comment ref="C399" authorId="1" shapeId="0" xr:uid="{93FF0980-96FF-054C-A92C-C22CD2232483}">
      <text>
        <r>
          <rPr>
            <b/>
            <sz val="10"/>
            <color rgb="FF000000"/>
            <rFont val="Tahoma"/>
            <family val="2"/>
          </rPr>
          <t>Microsoft Office User:</t>
        </r>
        <r>
          <rPr>
            <sz val="10"/>
            <color rgb="FF000000"/>
            <rFont val="Tahoma"/>
            <family val="2"/>
          </rPr>
          <t xml:space="preserve">
</t>
        </r>
        <r>
          <rPr>
            <sz val="10"/>
            <color rgb="FF000000"/>
            <rFont val="Tahoma"/>
            <family val="2"/>
          </rPr>
          <t>No data on end-of-life for exports - removed from end-of-life calcs</t>
        </r>
      </text>
    </comment>
    <comment ref="C414" authorId="1" shapeId="0" xr:uid="{B62BC527-CBE5-2642-8F80-3732826D92C7}">
      <text>
        <r>
          <rPr>
            <b/>
            <sz val="10"/>
            <color rgb="FF000000"/>
            <rFont val="Tahoma"/>
            <family val="2"/>
          </rPr>
          <t>Microsoft Office User:</t>
        </r>
        <r>
          <rPr>
            <sz val="10"/>
            <color rgb="FF000000"/>
            <rFont val="Tahoma"/>
            <family val="2"/>
          </rPr>
          <t xml:space="preserve">
</t>
        </r>
        <r>
          <rPr>
            <sz val="10"/>
            <color rgb="FF000000"/>
            <rFont val="Tahoma"/>
            <family val="2"/>
          </rPr>
          <t>No data on end-of-life for exports - removed from end-of-life calcs</t>
        </r>
      </text>
    </comment>
    <comment ref="C424" authorId="1" shapeId="0" xr:uid="{A8A0D1CF-57F7-1244-A4C3-AEADD97610C5}">
      <text>
        <r>
          <rPr>
            <b/>
            <sz val="10"/>
            <color rgb="FF000000"/>
            <rFont val="Tahoma"/>
            <family val="2"/>
          </rPr>
          <t>Microsoft Office User:</t>
        </r>
        <r>
          <rPr>
            <sz val="10"/>
            <color rgb="FF000000"/>
            <rFont val="Tahoma"/>
            <family val="2"/>
          </rPr>
          <t xml:space="preserve">
</t>
        </r>
        <r>
          <rPr>
            <sz val="10"/>
            <color rgb="FF000000"/>
            <rFont val="Tahoma"/>
            <family val="2"/>
          </rPr>
          <t>No data on end-of-life for exports - removed from end-of-life calcs</t>
        </r>
      </text>
    </comment>
    <comment ref="C434" authorId="1" shapeId="0" xr:uid="{1DD4E854-631C-5C44-8C20-054F3F9BA150}">
      <text>
        <r>
          <rPr>
            <b/>
            <sz val="10"/>
            <color rgb="FF000000"/>
            <rFont val="Tahoma"/>
            <family val="2"/>
          </rPr>
          <t>Microsoft Office User:</t>
        </r>
        <r>
          <rPr>
            <sz val="10"/>
            <color rgb="FF000000"/>
            <rFont val="Tahoma"/>
            <family val="2"/>
          </rPr>
          <t xml:space="preserve">
</t>
        </r>
        <r>
          <rPr>
            <sz val="10"/>
            <color rgb="FF000000"/>
            <rFont val="Tahoma"/>
            <family val="2"/>
          </rPr>
          <t>No data on end-of-life for exports - removed from end-of-life calcs</t>
        </r>
      </text>
    </comment>
    <comment ref="C449" authorId="1" shapeId="0" xr:uid="{3362CC6B-05C0-F842-BDBC-C1C446952249}">
      <text>
        <r>
          <rPr>
            <b/>
            <sz val="10"/>
            <color rgb="FF000000"/>
            <rFont val="Tahoma"/>
            <family val="2"/>
          </rPr>
          <t>Microsoft Office User:</t>
        </r>
        <r>
          <rPr>
            <sz val="10"/>
            <color rgb="FF000000"/>
            <rFont val="Tahoma"/>
            <family val="2"/>
          </rPr>
          <t xml:space="preserve">
</t>
        </r>
        <r>
          <rPr>
            <sz val="10"/>
            <color rgb="FF000000"/>
            <rFont val="Tahoma"/>
            <family val="2"/>
          </rPr>
          <t>No data on end-of-life for exports - removed from end-of-life calcs</t>
        </r>
      </text>
    </comment>
    <comment ref="C459" authorId="1" shapeId="0" xr:uid="{42A59AD8-1610-954D-A262-01A782DD85FE}">
      <text>
        <r>
          <rPr>
            <b/>
            <sz val="10"/>
            <color rgb="FF000000"/>
            <rFont val="Tahoma"/>
            <family val="2"/>
          </rPr>
          <t>Microsoft Office User:</t>
        </r>
        <r>
          <rPr>
            <sz val="10"/>
            <color rgb="FF000000"/>
            <rFont val="Tahoma"/>
            <family val="2"/>
          </rPr>
          <t xml:space="preserve">
</t>
        </r>
        <r>
          <rPr>
            <sz val="10"/>
            <color rgb="FF000000"/>
            <rFont val="Tahoma"/>
            <family val="2"/>
          </rPr>
          <t>No data on end-of-life for exports - removed from end-of-life calcs</t>
        </r>
      </text>
    </comment>
    <comment ref="C469" authorId="1" shapeId="0" xr:uid="{1885FB2F-C6F4-334E-8757-CA0522C0A3C5}">
      <text>
        <r>
          <rPr>
            <b/>
            <sz val="10"/>
            <color rgb="FF000000"/>
            <rFont val="Tahoma"/>
            <family val="2"/>
          </rPr>
          <t>Microsoft Office User:</t>
        </r>
        <r>
          <rPr>
            <sz val="10"/>
            <color rgb="FF000000"/>
            <rFont val="Tahoma"/>
            <family val="2"/>
          </rPr>
          <t xml:space="preserve">
</t>
        </r>
        <r>
          <rPr>
            <sz val="10"/>
            <color rgb="FF000000"/>
            <rFont val="Tahoma"/>
            <family val="2"/>
          </rPr>
          <t>No data on end-of-life for exports - removed from end-of-life calcs</t>
        </r>
      </text>
    </comment>
    <comment ref="C484" authorId="1" shapeId="0" xr:uid="{4EA20FA0-A066-4F4F-853B-D9D989A20013}">
      <text>
        <r>
          <rPr>
            <b/>
            <sz val="10"/>
            <color rgb="FF000000"/>
            <rFont val="Tahoma"/>
            <family val="2"/>
          </rPr>
          <t>Microsoft Office User:</t>
        </r>
        <r>
          <rPr>
            <sz val="10"/>
            <color rgb="FF000000"/>
            <rFont val="Tahoma"/>
            <family val="2"/>
          </rPr>
          <t xml:space="preserve">
</t>
        </r>
        <r>
          <rPr>
            <sz val="10"/>
            <color rgb="FF000000"/>
            <rFont val="Tahoma"/>
            <family val="2"/>
          </rPr>
          <t>No data on end-of-life for exports - removed from end-of-life calcs</t>
        </r>
      </text>
    </comment>
    <comment ref="C494" authorId="1" shapeId="0" xr:uid="{721AC23B-EE0D-3A41-B62F-9A95A8CB71F2}">
      <text>
        <r>
          <rPr>
            <b/>
            <sz val="10"/>
            <color rgb="FF000000"/>
            <rFont val="Tahoma"/>
            <family val="2"/>
          </rPr>
          <t>Microsoft Office User:</t>
        </r>
        <r>
          <rPr>
            <sz val="10"/>
            <color rgb="FF000000"/>
            <rFont val="Tahoma"/>
            <family val="2"/>
          </rPr>
          <t xml:space="preserve">
</t>
        </r>
        <r>
          <rPr>
            <sz val="10"/>
            <color rgb="FF000000"/>
            <rFont val="Tahoma"/>
            <family val="2"/>
          </rPr>
          <t>No data on end-of-life for exports - removed from end-of-life calcs</t>
        </r>
      </text>
    </comment>
    <comment ref="C504" authorId="1" shapeId="0" xr:uid="{4106D95A-67B6-5149-ACE4-CFC5DAC38696}">
      <text>
        <r>
          <rPr>
            <b/>
            <sz val="10"/>
            <color rgb="FF000000"/>
            <rFont val="Tahoma"/>
            <family val="2"/>
          </rPr>
          <t>Microsoft Office User:</t>
        </r>
        <r>
          <rPr>
            <sz val="10"/>
            <color rgb="FF000000"/>
            <rFont val="Tahoma"/>
            <family val="2"/>
          </rPr>
          <t xml:space="preserve">
</t>
        </r>
        <r>
          <rPr>
            <sz val="10"/>
            <color rgb="FF000000"/>
            <rFont val="Tahoma"/>
            <family val="2"/>
          </rPr>
          <t>No data on end-of-life for exports - removed from end-of-life calcs</t>
        </r>
      </text>
    </comment>
    <comment ref="C519" authorId="1" shapeId="0" xr:uid="{7A87DD0B-0249-D747-BAB4-F1E555AA5065}">
      <text>
        <r>
          <rPr>
            <b/>
            <sz val="10"/>
            <color rgb="FF000000"/>
            <rFont val="Tahoma"/>
            <family val="2"/>
          </rPr>
          <t>Microsoft Office User:</t>
        </r>
        <r>
          <rPr>
            <sz val="10"/>
            <color rgb="FF000000"/>
            <rFont val="Tahoma"/>
            <family val="2"/>
          </rPr>
          <t xml:space="preserve">
</t>
        </r>
        <r>
          <rPr>
            <sz val="10"/>
            <color rgb="FF000000"/>
            <rFont val="Tahoma"/>
            <family val="2"/>
          </rPr>
          <t>No data on end-of-life for exports - removed from end-of-life calcs</t>
        </r>
      </text>
    </comment>
    <comment ref="C530" authorId="1" shapeId="0" xr:uid="{A93AA8F3-1FB3-2D47-99AC-4F9CEE510A27}">
      <text>
        <r>
          <rPr>
            <b/>
            <sz val="10"/>
            <color rgb="FF000000"/>
            <rFont val="Tahoma"/>
            <family val="2"/>
          </rPr>
          <t>Microsoft Office User:</t>
        </r>
        <r>
          <rPr>
            <sz val="10"/>
            <color rgb="FF000000"/>
            <rFont val="Tahoma"/>
            <family val="2"/>
          </rPr>
          <t xml:space="preserve">
</t>
        </r>
        <r>
          <rPr>
            <sz val="10"/>
            <color rgb="FF000000"/>
            <rFont val="Tahoma"/>
            <family val="2"/>
          </rPr>
          <t>No data on end-of-life for exports - removed from end-of-life calcs</t>
        </r>
      </text>
    </comment>
    <comment ref="C540" authorId="1" shapeId="0" xr:uid="{A813C821-D161-F94A-BA35-269749A92ACD}">
      <text>
        <r>
          <rPr>
            <b/>
            <sz val="10"/>
            <color rgb="FF000000"/>
            <rFont val="Tahoma"/>
            <family val="2"/>
          </rPr>
          <t>Microsoft Office User:</t>
        </r>
        <r>
          <rPr>
            <sz val="10"/>
            <color rgb="FF000000"/>
            <rFont val="Tahoma"/>
            <family val="2"/>
          </rPr>
          <t xml:space="preserve">
</t>
        </r>
        <r>
          <rPr>
            <sz val="10"/>
            <color rgb="FF000000"/>
            <rFont val="Tahoma"/>
            <family val="2"/>
          </rPr>
          <t>No data on end-of-life for exports - removed from end-of-life calcs</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B14" authorId="0" shapeId="0" xr:uid="{7437C3A1-4C35-8945-BCFB-0A867EE58CBF}">
      <text>
        <r>
          <rPr>
            <b/>
            <sz val="10"/>
            <color rgb="FF000000"/>
            <rFont val="Tahoma"/>
            <family val="2"/>
          </rPr>
          <t>Microsoft Office User:</t>
        </r>
        <r>
          <rPr>
            <sz val="10"/>
            <color rgb="FF000000"/>
            <rFont val="Tahoma"/>
            <family val="2"/>
          </rPr>
          <t xml:space="preserve">
</t>
        </r>
        <r>
          <rPr>
            <sz val="10"/>
            <color rgb="FF000000"/>
            <rFont val="Tahoma"/>
            <family val="2"/>
          </rPr>
          <t>No data on end-of-life for exports - removed from end-of-life calcs</t>
        </r>
      </text>
    </comment>
    <comment ref="B25" authorId="0" shapeId="0" xr:uid="{F833FD53-2EFA-AA4E-8A98-18F5E93C56F8}">
      <text>
        <r>
          <rPr>
            <b/>
            <sz val="10"/>
            <color rgb="FF000000"/>
            <rFont val="Tahoma"/>
            <family val="2"/>
          </rPr>
          <t>Microsoft Office User:</t>
        </r>
        <r>
          <rPr>
            <sz val="10"/>
            <color rgb="FF000000"/>
            <rFont val="Tahoma"/>
            <family val="2"/>
          </rPr>
          <t xml:space="preserve">
</t>
        </r>
        <r>
          <rPr>
            <sz val="10"/>
            <color rgb="FF000000"/>
            <rFont val="Tahoma"/>
            <family val="2"/>
          </rPr>
          <t>No data on end-of-life for exports - removed from end-of-life calcs</t>
        </r>
      </text>
    </comment>
    <comment ref="B36" authorId="0" shapeId="0" xr:uid="{A5501BDC-1892-CE4A-B197-070D4CDD93F8}">
      <text>
        <r>
          <rPr>
            <b/>
            <sz val="10"/>
            <color rgb="FF000000"/>
            <rFont val="Tahoma"/>
            <family val="2"/>
          </rPr>
          <t>Microsoft Office User:</t>
        </r>
        <r>
          <rPr>
            <sz val="10"/>
            <color rgb="FF000000"/>
            <rFont val="Tahoma"/>
            <family val="2"/>
          </rPr>
          <t xml:space="preserve">
</t>
        </r>
        <r>
          <rPr>
            <sz val="10"/>
            <color rgb="FF000000"/>
            <rFont val="Tahoma"/>
            <family val="2"/>
          </rPr>
          <t>No data on end-of-life for exports - removed from end-of-life calcs</t>
        </r>
      </text>
    </comment>
    <comment ref="B47" authorId="0" shapeId="0" xr:uid="{F4041C4F-BEC1-6E43-9B42-9F3B48B121C0}">
      <text>
        <r>
          <rPr>
            <b/>
            <sz val="10"/>
            <color rgb="FF000000"/>
            <rFont val="Tahoma"/>
            <family val="2"/>
          </rPr>
          <t>Microsoft Office User:</t>
        </r>
        <r>
          <rPr>
            <sz val="10"/>
            <color rgb="FF000000"/>
            <rFont val="Tahoma"/>
            <family val="2"/>
          </rPr>
          <t xml:space="preserve">
</t>
        </r>
        <r>
          <rPr>
            <sz val="10"/>
            <color rgb="FF000000"/>
            <rFont val="Tahoma"/>
            <family val="2"/>
          </rPr>
          <t>No data on end-of-life for exports - removed from end-of-life calcs</t>
        </r>
      </text>
    </comment>
    <comment ref="B57" authorId="0" shapeId="0" xr:uid="{619E5630-311A-1543-B934-F2F91A51F697}">
      <text>
        <r>
          <rPr>
            <b/>
            <sz val="10"/>
            <color rgb="FF000000"/>
            <rFont val="Tahoma"/>
            <family val="2"/>
          </rPr>
          <t>Microsoft Office User:</t>
        </r>
        <r>
          <rPr>
            <sz val="10"/>
            <color rgb="FF000000"/>
            <rFont val="Tahoma"/>
            <family val="2"/>
          </rPr>
          <t xml:space="preserve">
</t>
        </r>
        <r>
          <rPr>
            <sz val="10"/>
            <color rgb="FF000000"/>
            <rFont val="Tahoma"/>
            <family val="2"/>
          </rPr>
          <t>No data on end-of-life for exports - removed from end-of-life calcs</t>
        </r>
      </text>
    </comment>
    <comment ref="B68" authorId="0" shapeId="0" xr:uid="{833934A8-A6FD-1249-A52A-DAD730B10EC0}">
      <text>
        <r>
          <rPr>
            <b/>
            <sz val="10"/>
            <color rgb="FF000000"/>
            <rFont val="Tahoma"/>
            <family val="2"/>
          </rPr>
          <t>Microsoft Office User:</t>
        </r>
        <r>
          <rPr>
            <sz val="10"/>
            <color rgb="FF000000"/>
            <rFont val="Tahoma"/>
            <family val="2"/>
          </rPr>
          <t xml:space="preserve">
</t>
        </r>
        <r>
          <rPr>
            <sz val="10"/>
            <color rgb="FF000000"/>
            <rFont val="Tahoma"/>
            <family val="2"/>
          </rPr>
          <t>No data on end-of-life for exports - removed from end-of-life calcs</t>
        </r>
      </text>
    </comment>
    <comment ref="B79" authorId="0" shapeId="0" xr:uid="{569DF9B3-3B4E-7E43-95EE-3BF1FFF04006}">
      <text>
        <r>
          <rPr>
            <b/>
            <sz val="10"/>
            <color rgb="FF000000"/>
            <rFont val="Tahoma"/>
            <family val="2"/>
          </rPr>
          <t>Microsoft Office User:</t>
        </r>
        <r>
          <rPr>
            <sz val="10"/>
            <color rgb="FF000000"/>
            <rFont val="Tahoma"/>
            <family val="2"/>
          </rPr>
          <t xml:space="preserve">
</t>
        </r>
        <r>
          <rPr>
            <sz val="10"/>
            <color rgb="FF000000"/>
            <rFont val="Tahoma"/>
            <family val="2"/>
          </rPr>
          <t>No data on end-of-life for exports - removed from end-of-life calcs</t>
        </r>
      </text>
    </comment>
    <comment ref="B90" authorId="0" shapeId="0" xr:uid="{F3C13F96-67B3-4F49-9D40-C001497BF476}">
      <text>
        <r>
          <rPr>
            <b/>
            <sz val="10"/>
            <color rgb="FF000000"/>
            <rFont val="Tahoma"/>
            <family val="2"/>
          </rPr>
          <t>Microsoft Office User:</t>
        </r>
        <r>
          <rPr>
            <sz val="10"/>
            <color rgb="FF000000"/>
            <rFont val="Tahoma"/>
            <family val="2"/>
          </rPr>
          <t xml:space="preserve">
</t>
        </r>
        <r>
          <rPr>
            <sz val="10"/>
            <color rgb="FF000000"/>
            <rFont val="Tahoma"/>
            <family val="2"/>
          </rPr>
          <t>No data on end-of-life for exports - removed from end-of-life calcs</t>
        </r>
      </text>
    </comment>
    <comment ref="B101" authorId="0" shapeId="0" xr:uid="{AEE55D36-DA02-6744-9D71-CD84E7964379}">
      <text>
        <r>
          <rPr>
            <b/>
            <sz val="10"/>
            <color rgb="FF000000"/>
            <rFont val="Tahoma"/>
            <family val="2"/>
          </rPr>
          <t>Microsoft Office User:</t>
        </r>
        <r>
          <rPr>
            <sz val="10"/>
            <color rgb="FF000000"/>
            <rFont val="Tahoma"/>
            <family val="2"/>
          </rPr>
          <t xml:space="preserve">
</t>
        </r>
        <r>
          <rPr>
            <sz val="10"/>
            <color rgb="FF000000"/>
            <rFont val="Tahoma"/>
            <family val="2"/>
          </rPr>
          <t>No data on end-of-life for exports - removed from end-of-life calcs</t>
        </r>
      </text>
    </comment>
    <comment ref="B112" authorId="0" shapeId="0" xr:uid="{9F6287E4-6374-E245-AB05-1AA55C591ED3}">
      <text>
        <r>
          <rPr>
            <b/>
            <sz val="10"/>
            <color rgb="FF000000"/>
            <rFont val="Tahoma"/>
            <family val="2"/>
          </rPr>
          <t>Microsoft Office User:</t>
        </r>
        <r>
          <rPr>
            <sz val="10"/>
            <color rgb="FF000000"/>
            <rFont val="Tahoma"/>
            <family val="2"/>
          </rPr>
          <t xml:space="preserve">
</t>
        </r>
        <r>
          <rPr>
            <sz val="10"/>
            <color rgb="FF000000"/>
            <rFont val="Tahoma"/>
            <family val="2"/>
          </rPr>
          <t>No data on end-of-life for exports - removed from end-of-life calcs</t>
        </r>
      </text>
    </comment>
    <comment ref="B123" authorId="0" shapeId="0" xr:uid="{15D624BF-73EF-2245-B7E3-E911BC99D45E}">
      <text>
        <r>
          <rPr>
            <b/>
            <sz val="10"/>
            <color rgb="FF000000"/>
            <rFont val="Tahoma"/>
            <family val="2"/>
          </rPr>
          <t>Microsoft Office User:</t>
        </r>
        <r>
          <rPr>
            <sz val="10"/>
            <color rgb="FF000000"/>
            <rFont val="Tahoma"/>
            <family val="2"/>
          </rPr>
          <t xml:space="preserve">
</t>
        </r>
        <r>
          <rPr>
            <sz val="10"/>
            <color rgb="FF000000"/>
            <rFont val="Tahoma"/>
            <family val="2"/>
          </rPr>
          <t>No data on end-of-life for exports - removed from end-of-life calcs</t>
        </r>
      </text>
    </comment>
    <comment ref="B134" authorId="0" shapeId="0" xr:uid="{389DEDF1-7D45-C84A-92B4-A9FB4D781FCD}">
      <text>
        <r>
          <rPr>
            <b/>
            <sz val="10"/>
            <color rgb="FF000000"/>
            <rFont val="Tahoma"/>
            <family val="2"/>
          </rPr>
          <t>Microsoft Office User:</t>
        </r>
        <r>
          <rPr>
            <sz val="10"/>
            <color rgb="FF000000"/>
            <rFont val="Tahoma"/>
            <family val="2"/>
          </rPr>
          <t xml:space="preserve">
</t>
        </r>
        <r>
          <rPr>
            <sz val="10"/>
            <color rgb="FF000000"/>
            <rFont val="Tahoma"/>
            <family val="2"/>
          </rPr>
          <t>No data on end-of-life for exports - removed from end-of-life calcs</t>
        </r>
      </text>
    </comment>
    <comment ref="B145" authorId="0" shapeId="0" xr:uid="{5052FC8B-6AAF-D24B-9906-911AE6BF7899}">
      <text>
        <r>
          <rPr>
            <b/>
            <sz val="10"/>
            <color rgb="FF000000"/>
            <rFont val="Tahoma"/>
            <family val="2"/>
          </rPr>
          <t>Microsoft Office User:</t>
        </r>
        <r>
          <rPr>
            <sz val="10"/>
            <color rgb="FF000000"/>
            <rFont val="Tahoma"/>
            <family val="2"/>
          </rPr>
          <t xml:space="preserve">
</t>
        </r>
        <r>
          <rPr>
            <sz val="10"/>
            <color rgb="FF000000"/>
            <rFont val="Tahoma"/>
            <family val="2"/>
          </rPr>
          <t>No data on end-of-life for exports - removed from end-of-life calcs</t>
        </r>
      </text>
    </comment>
    <comment ref="B156" authorId="0" shapeId="0" xr:uid="{E3A421D7-2A2C-C447-A22E-95E58A349D10}">
      <text>
        <r>
          <rPr>
            <b/>
            <sz val="10"/>
            <color rgb="FF000000"/>
            <rFont val="Tahoma"/>
            <family val="2"/>
          </rPr>
          <t>Microsoft Office User:</t>
        </r>
        <r>
          <rPr>
            <sz val="10"/>
            <color rgb="FF000000"/>
            <rFont val="Tahoma"/>
            <family val="2"/>
          </rPr>
          <t xml:space="preserve">
</t>
        </r>
        <r>
          <rPr>
            <sz val="10"/>
            <color rgb="FF000000"/>
            <rFont val="Tahoma"/>
            <family val="2"/>
          </rPr>
          <t>No data on end-of-life for exports - removed from end-of-life calcs</t>
        </r>
      </text>
    </comment>
    <comment ref="B167" authorId="0" shapeId="0" xr:uid="{31343F38-83DD-0142-85D0-DDC67CB5B4BB}">
      <text>
        <r>
          <rPr>
            <b/>
            <sz val="10"/>
            <color rgb="FF000000"/>
            <rFont val="Tahoma"/>
            <family val="2"/>
          </rPr>
          <t>Microsoft Office User:</t>
        </r>
        <r>
          <rPr>
            <sz val="10"/>
            <color rgb="FF000000"/>
            <rFont val="Tahoma"/>
            <family val="2"/>
          </rPr>
          <t xml:space="preserve">
</t>
        </r>
        <r>
          <rPr>
            <sz val="10"/>
            <color rgb="FF000000"/>
            <rFont val="Tahoma"/>
            <family val="2"/>
          </rPr>
          <t>No data on end-of-life for exports - removed from end-of-life calcs</t>
        </r>
      </text>
    </comment>
    <comment ref="B178" authorId="0" shapeId="0" xr:uid="{43398122-C944-D74D-ACE2-1316DDFEF827}">
      <text>
        <r>
          <rPr>
            <b/>
            <sz val="10"/>
            <color rgb="FF000000"/>
            <rFont val="Tahoma"/>
            <family val="2"/>
          </rPr>
          <t>Microsoft Office User:</t>
        </r>
        <r>
          <rPr>
            <sz val="10"/>
            <color rgb="FF000000"/>
            <rFont val="Tahoma"/>
            <family val="2"/>
          </rPr>
          <t xml:space="preserve">
</t>
        </r>
        <r>
          <rPr>
            <sz val="10"/>
            <color rgb="FF000000"/>
            <rFont val="Tahoma"/>
            <family val="2"/>
          </rPr>
          <t>No data on end-of-life for exports - removed from end-of-life calcs</t>
        </r>
      </text>
    </comment>
    <comment ref="B189" authorId="0" shapeId="0" xr:uid="{4B17A734-0FBC-5E4E-81FE-DD4C283FD8D1}">
      <text>
        <r>
          <rPr>
            <b/>
            <sz val="10"/>
            <color rgb="FF000000"/>
            <rFont val="Tahoma"/>
            <family val="2"/>
          </rPr>
          <t>Microsoft Office User:</t>
        </r>
        <r>
          <rPr>
            <sz val="10"/>
            <color rgb="FF000000"/>
            <rFont val="Tahoma"/>
            <family val="2"/>
          </rPr>
          <t xml:space="preserve">
</t>
        </r>
        <r>
          <rPr>
            <sz val="10"/>
            <color rgb="FF000000"/>
            <rFont val="Tahoma"/>
            <family val="2"/>
          </rPr>
          <t>No data on end-of-life for exports - removed from end-of-life calcs</t>
        </r>
      </text>
    </comment>
    <comment ref="B199" authorId="0" shapeId="0" xr:uid="{9C0F0BA9-8DAB-4745-9E72-733DB4FCADAE}">
      <text>
        <r>
          <rPr>
            <b/>
            <sz val="10"/>
            <color rgb="FF000000"/>
            <rFont val="Tahoma"/>
            <family val="2"/>
          </rPr>
          <t>Microsoft Office User:</t>
        </r>
        <r>
          <rPr>
            <sz val="10"/>
            <color rgb="FF000000"/>
            <rFont val="Tahoma"/>
            <family val="2"/>
          </rPr>
          <t xml:space="preserve">
</t>
        </r>
        <r>
          <rPr>
            <sz val="10"/>
            <color rgb="FF000000"/>
            <rFont val="Tahoma"/>
            <family val="2"/>
          </rPr>
          <t>No data on end-of-life for exports - removed from end-of-life calcs</t>
        </r>
      </text>
    </comment>
    <comment ref="B210" authorId="0" shapeId="0" xr:uid="{5F841134-D8DC-3C4C-8022-67A506221921}">
      <text>
        <r>
          <rPr>
            <b/>
            <sz val="10"/>
            <color rgb="FF000000"/>
            <rFont val="Tahoma"/>
            <family val="2"/>
          </rPr>
          <t>Microsoft Office User:</t>
        </r>
        <r>
          <rPr>
            <sz val="10"/>
            <color rgb="FF000000"/>
            <rFont val="Tahoma"/>
            <family val="2"/>
          </rPr>
          <t xml:space="preserve">
</t>
        </r>
        <r>
          <rPr>
            <sz val="10"/>
            <color rgb="FF000000"/>
            <rFont val="Tahoma"/>
            <family val="2"/>
          </rPr>
          <t>No data on end-of-life for exports - removed from end-of-life calcs</t>
        </r>
      </text>
    </comment>
    <comment ref="B221" authorId="0" shapeId="0" xr:uid="{8000EF0A-6736-0043-AE0D-7F62FF2F6690}">
      <text>
        <r>
          <rPr>
            <b/>
            <sz val="10"/>
            <color rgb="FF000000"/>
            <rFont val="Tahoma"/>
            <family val="2"/>
          </rPr>
          <t>Microsoft Office User:</t>
        </r>
        <r>
          <rPr>
            <sz val="10"/>
            <color rgb="FF000000"/>
            <rFont val="Tahoma"/>
            <family val="2"/>
          </rPr>
          <t xml:space="preserve">
</t>
        </r>
        <r>
          <rPr>
            <sz val="10"/>
            <color rgb="FF000000"/>
            <rFont val="Tahoma"/>
            <family val="2"/>
          </rPr>
          <t>No data on end-of-life for exports - removed from end-of-life calcs</t>
        </r>
      </text>
    </comment>
    <comment ref="B231" authorId="0" shapeId="0" xr:uid="{41A25E1E-B456-4947-A2A3-669739B9BD12}">
      <text>
        <r>
          <rPr>
            <b/>
            <sz val="10"/>
            <color rgb="FF000000"/>
            <rFont val="Tahoma"/>
            <family val="2"/>
          </rPr>
          <t>Microsoft Office User:</t>
        </r>
        <r>
          <rPr>
            <sz val="10"/>
            <color rgb="FF000000"/>
            <rFont val="Tahoma"/>
            <family val="2"/>
          </rPr>
          <t xml:space="preserve">
</t>
        </r>
        <r>
          <rPr>
            <sz val="10"/>
            <color rgb="FF000000"/>
            <rFont val="Tahoma"/>
            <family val="2"/>
          </rPr>
          <t>No data on end-of-life for exports - removed from end-of-life calcs</t>
        </r>
      </text>
    </comment>
    <comment ref="B242" authorId="0" shapeId="0" xr:uid="{6D0E06B4-AA6E-C64C-92A9-43DE48C5F1D5}">
      <text>
        <r>
          <rPr>
            <b/>
            <sz val="10"/>
            <color rgb="FF000000"/>
            <rFont val="Tahoma"/>
            <family val="2"/>
          </rPr>
          <t>Microsoft Office User:</t>
        </r>
        <r>
          <rPr>
            <sz val="10"/>
            <color rgb="FF000000"/>
            <rFont val="Tahoma"/>
            <family val="2"/>
          </rPr>
          <t xml:space="preserve">
</t>
        </r>
        <r>
          <rPr>
            <sz val="10"/>
            <color rgb="FF000000"/>
            <rFont val="Tahoma"/>
            <family val="2"/>
          </rPr>
          <t>No data on end-of-life for exports - removed from end-of-life calcs</t>
        </r>
      </text>
    </comment>
    <comment ref="B253" authorId="0" shapeId="0" xr:uid="{D909C24D-2325-1942-B87A-903DDBB1C1E0}">
      <text>
        <r>
          <rPr>
            <b/>
            <sz val="10"/>
            <color rgb="FF000000"/>
            <rFont val="Tahoma"/>
            <family val="2"/>
          </rPr>
          <t>Microsoft Office User:</t>
        </r>
        <r>
          <rPr>
            <sz val="10"/>
            <color rgb="FF000000"/>
            <rFont val="Tahoma"/>
            <family val="2"/>
          </rPr>
          <t xml:space="preserve">
</t>
        </r>
        <r>
          <rPr>
            <sz val="10"/>
            <color rgb="FF000000"/>
            <rFont val="Tahoma"/>
            <family val="2"/>
          </rPr>
          <t>No data on end-of-life for exports - removed from end-of-life calcs</t>
        </r>
      </text>
    </comment>
    <comment ref="B264" authorId="0" shapeId="0" xr:uid="{284E632F-8133-6C47-AFE0-B04E5D7F9E54}">
      <text>
        <r>
          <rPr>
            <b/>
            <sz val="10"/>
            <color rgb="FF000000"/>
            <rFont val="Tahoma"/>
            <family val="2"/>
          </rPr>
          <t>Microsoft Office User:</t>
        </r>
        <r>
          <rPr>
            <sz val="10"/>
            <color rgb="FF000000"/>
            <rFont val="Tahoma"/>
            <family val="2"/>
          </rPr>
          <t xml:space="preserve">
</t>
        </r>
        <r>
          <rPr>
            <sz val="10"/>
            <color rgb="FF000000"/>
            <rFont val="Tahoma"/>
            <family val="2"/>
          </rPr>
          <t>No data on end-of-life for exports - removed from end-of-life calcs</t>
        </r>
      </text>
    </comment>
  </commentList>
</comments>
</file>

<file path=xl/sharedStrings.xml><?xml version="1.0" encoding="utf-8"?>
<sst xmlns="http://schemas.openxmlformats.org/spreadsheetml/2006/main" count="21459" uniqueCount="936">
  <si>
    <t>PDK</t>
  </si>
  <si>
    <t>HDPE</t>
  </si>
  <si>
    <t>PET</t>
  </si>
  <si>
    <t>TPU</t>
  </si>
  <si>
    <t>Recycling</t>
  </si>
  <si>
    <t>Combustion with energy recovery</t>
  </si>
  <si>
    <t>Landfill</t>
  </si>
  <si>
    <t>PVC</t>
  </si>
  <si>
    <t>LDPE</t>
  </si>
  <si>
    <t>PLA</t>
  </si>
  <si>
    <t>PP</t>
  </si>
  <si>
    <t>PS</t>
  </si>
  <si>
    <t>Other</t>
  </si>
  <si>
    <t>Total</t>
  </si>
  <si>
    <t>Durables</t>
  </si>
  <si>
    <t>Non-durables</t>
  </si>
  <si>
    <t>Source</t>
  </si>
  <si>
    <t>Notes</t>
  </si>
  <si>
    <t>Exports</t>
  </si>
  <si>
    <t>LLDPE</t>
  </si>
  <si>
    <t>source</t>
  </si>
  <si>
    <t>target</t>
  </si>
  <si>
    <t>value</t>
  </si>
  <si>
    <t>Combustion wt energy recovery</t>
  </si>
  <si>
    <t>Resin Production</t>
  </si>
  <si>
    <t>EPS</t>
  </si>
  <si>
    <t>Other Thermoplastics</t>
  </si>
  <si>
    <t>Production</t>
  </si>
  <si>
    <t>Sales</t>
  </si>
  <si>
    <t>Million lbs</t>
  </si>
  <si>
    <t>Polyester fiber</t>
  </si>
  <si>
    <t>ABS</t>
  </si>
  <si>
    <t>Polycarbonate</t>
  </si>
  <si>
    <t>Imports</t>
  </si>
  <si>
    <t>ABS calculations</t>
  </si>
  <si>
    <t>X=</t>
  </si>
  <si>
    <t>Assume linear trendline</t>
  </si>
  <si>
    <t>https://www.plasticsinsight.com/resin-intelligence/resin-prices/abs-plastic/</t>
  </si>
  <si>
    <t>Building and Construction</t>
  </si>
  <si>
    <t>Packaging</t>
  </si>
  <si>
    <t>Total Production</t>
  </si>
  <si>
    <t>Polyamide fiber calculations</t>
  </si>
  <si>
    <t>polyamide nylon</t>
  </si>
  <si>
    <t>Actual data 12.43  million tons, north american production capacity is 8%</t>
  </si>
  <si>
    <t>https://www.plasticsinsight.com/resin-intelligence/resin-prices/polycarbonate/</t>
  </si>
  <si>
    <t>Actual data, 5100 ktons/annum, with US at 15.2%</t>
  </si>
  <si>
    <t>Actual data: 890 thousand metric tons</t>
  </si>
  <si>
    <t>million metric tons</t>
  </si>
  <si>
    <t>million lbs</t>
  </si>
  <si>
    <t>Sanity Check</t>
  </si>
  <si>
    <t>Parameters</t>
  </si>
  <si>
    <t>Lifetime (Years)</t>
  </si>
  <si>
    <t>ln(Mean/Sqrt(1+Var/Mean^2))</t>
  </si>
  <si>
    <t>Sqrt(ln((1+Var/Mean^2)</t>
  </si>
  <si>
    <t>Min</t>
  </si>
  <si>
    <t>Max</t>
  </si>
  <si>
    <t>Mean</t>
  </si>
  <si>
    <t>Varience</t>
  </si>
  <si>
    <t>µ</t>
  </si>
  <si>
    <t>σ</t>
  </si>
  <si>
    <t>Transport</t>
  </si>
  <si>
    <t>Construction/Building</t>
  </si>
  <si>
    <t>Electrical and Electronic Applications</t>
  </si>
  <si>
    <t>Consumer and Institutional</t>
  </si>
  <si>
    <t>Industrial Machinery</t>
  </si>
  <si>
    <t>Others</t>
  </si>
  <si>
    <t>Standard Deviation</t>
  </si>
  <si>
    <t>Year that plastic comes out as waste</t>
  </si>
  <si>
    <t>Electrical/Electronic</t>
  </si>
  <si>
    <t>Transportation</t>
  </si>
  <si>
    <t>Note</t>
  </si>
  <si>
    <t>Total Production (MMT)</t>
  </si>
  <si>
    <t>Conversions</t>
  </si>
  <si>
    <t>lbs to kg</t>
  </si>
  <si>
    <t>kg to MT</t>
  </si>
  <si>
    <t>End of Life Materials Flows</t>
  </si>
  <si>
    <t>Resin Type</t>
  </si>
  <si>
    <t>Plastics Manufacturing Data - 2019</t>
  </si>
  <si>
    <t>Production estimates for ABS and polyamide (extrapoltaed for 2019 using linear projections)</t>
  </si>
  <si>
    <t>ACC 2020</t>
  </si>
  <si>
    <t>Plastics Use Material Flows</t>
  </si>
  <si>
    <t>Source: ACC 2020 for 2019 unless noted otherwise</t>
  </si>
  <si>
    <t>Polyurethane</t>
  </si>
  <si>
    <t>Consumption Category</t>
  </si>
  <si>
    <t>% of Total</t>
  </si>
  <si>
    <t>Polyurethane data source: https://polyurethane.americanchemistry.com/Resources-and-Document-Library/Economic-Benefits-of-Polyurethane-Full-Report.pdf, Table 3</t>
  </si>
  <si>
    <t>Other End Use Markets</t>
  </si>
  <si>
    <t>Epoxy</t>
  </si>
  <si>
    <t>MDI</t>
  </si>
  <si>
    <t>Polyether Polyols</t>
  </si>
  <si>
    <t>Thermosets</t>
  </si>
  <si>
    <t>Consumer and Insitutional</t>
  </si>
  <si>
    <t>Adhesives/Inks/Coatings</t>
  </si>
  <si>
    <t>TOTAL</t>
  </si>
  <si>
    <t>Thermoplastics</t>
  </si>
  <si>
    <t>New 2019 Estimate</t>
  </si>
  <si>
    <t>http://www.petresin.org/news_PETbythenumbers.asp</t>
  </si>
  <si>
    <t>3.1 milliton short tons</t>
  </si>
  <si>
    <t>short ton to MT</t>
  </si>
  <si>
    <t>Furniture and Furnishings</t>
  </si>
  <si>
    <t>Industrial/Machinery</t>
  </si>
  <si>
    <t>https://polyurethane.americanchemistry.com/Resources-and-Document-Library/Economic-Benefits-of-Polyurethane-Full-Report.pdf, Table 3</t>
  </si>
  <si>
    <t>2016 global consumption: https://www.plasticsinsight.com/resin-intelligence/resin-prices/polyethylene-terephthalate/</t>
  </si>
  <si>
    <t>Textiles, Fibers and Apparel</t>
  </si>
  <si>
    <t>https://www.grandviewresearch.com/industry-analysis/acrylonitrile-butadiene-styrene-market</t>
  </si>
  <si>
    <t>Styrene butadiene rubber</t>
  </si>
  <si>
    <t>2015 global consumption: https://www.grandviewresearch.com/industry-analysis/styrene-butaidene-rubber-industry</t>
  </si>
  <si>
    <t>Assumed w/o pricing information: https://www.grandviewresearch.com/industry-analysis/polycarbonate-market</t>
  </si>
  <si>
    <t>Old Data - Durables/Non-durables</t>
  </si>
  <si>
    <t>MMT</t>
  </si>
  <si>
    <t>Check</t>
  </si>
  <si>
    <t>Source: EPA, Sustainbale Materials Management 2020 (2018 data)</t>
  </si>
  <si>
    <t>Data Organization for Sankey Diagrams</t>
  </si>
  <si>
    <t>Resin Types</t>
  </si>
  <si>
    <t>Sankey Structure</t>
  </si>
  <si>
    <t>MSW Categories</t>
  </si>
  <si>
    <t>End-of-Life</t>
  </si>
  <si>
    <t>MSW Category</t>
  </si>
  <si>
    <t>Consumption (MMT)</t>
  </si>
  <si>
    <t>MSW Category (MMT)</t>
  </si>
  <si>
    <t>End-of-Life (MMT)</t>
  </si>
  <si>
    <t>Polyester Fiber</t>
  </si>
  <si>
    <t>Polyamide nylon</t>
  </si>
  <si>
    <t>Assumed</t>
  </si>
  <si>
    <t>Sum of production by end use market</t>
  </si>
  <si>
    <t>ACC 2020 - Economic Benefits of US Polyurethane Industry</t>
  </si>
  <si>
    <t>Heller et al. 2020 Estimate</t>
  </si>
  <si>
    <t>Other thermosets</t>
  </si>
  <si>
    <t>Includes engineering resins, SB Latex, other themoplastics</t>
  </si>
  <si>
    <t>From Heller et al. 2020: Assume 1% of 59.8 million metric tons</t>
  </si>
  <si>
    <t>Assumed based on non-PUR "Total thermosets" flows from Heller et al. 2020</t>
  </si>
  <si>
    <t>Sankey Data for Modeling in R</t>
  </si>
  <si>
    <t>Start</t>
  </si>
  <si>
    <t>Finish</t>
  </si>
  <si>
    <t>Value</t>
  </si>
  <si>
    <t>Material</t>
  </si>
  <si>
    <t>EPA Sustainable Materials Management</t>
  </si>
  <si>
    <t>Di et al. 2020</t>
  </si>
  <si>
    <t>Source - Supplementary Materials (Spreadsheet)</t>
  </si>
  <si>
    <t>Other_Plastics</t>
  </si>
  <si>
    <t>Fabrication</t>
  </si>
  <si>
    <t>Post-consumer_resins</t>
  </si>
  <si>
    <t>LDPE/LLDPE</t>
  </si>
  <si>
    <t>Plastics</t>
  </si>
  <si>
    <t>Import/export</t>
  </si>
  <si>
    <t>PE_family</t>
  </si>
  <si>
    <t>P2</t>
  </si>
  <si>
    <t>Material_recovery_facility</t>
  </si>
  <si>
    <t>Plastic_containing_and_packaging_-_Collection_and_sorting</t>
  </si>
  <si>
    <t>Nondurable_goods_-_Collection_and_sorting</t>
  </si>
  <si>
    <t>Durable_goods_-_Collection_and_sorting</t>
  </si>
  <si>
    <t>Combustion</t>
  </si>
  <si>
    <t>Plastic_containing_and_packaging_-_In-use_stock</t>
  </si>
  <si>
    <t>Nondurable_goods_-_In-use_stock</t>
  </si>
  <si>
    <t>Durable_goods_-_In-use_stock</t>
  </si>
  <si>
    <t>Plastic_containing_and_packaging_-_Net_addition_to_in-use_stock</t>
  </si>
  <si>
    <t>Plastic_containing_and_packaging_-_Gross_addition_to_stock</t>
  </si>
  <si>
    <t>Nondurable_goods_-_Net_addition_to_in-use_stock</t>
  </si>
  <si>
    <t>Nondurable_goods_-_Gross_addition_to_stock</t>
  </si>
  <si>
    <t>Durable_goods_-_Net_addition_to_in-use_stock</t>
  </si>
  <si>
    <t>Durable_goods_-_Gross_addition_to_stock</t>
  </si>
  <si>
    <t>Durable_goods_-_Gross_addition_to_in-use_stock</t>
  </si>
  <si>
    <t>Plastic_in_final_goods_-_All_other</t>
  </si>
  <si>
    <t>Plastic_in_final_goods_-_Adhesives/inks/coatings</t>
  </si>
  <si>
    <t>Plastic_in_final_goods_-_Industrial/machinery</t>
  </si>
  <si>
    <t>Nondurable_goods_-_Gross_addition_to_in-use_stock</t>
  </si>
  <si>
    <t>Plastic_in_final_goods_-_Consumer_and_institutional_products</t>
  </si>
  <si>
    <t>Plastic_in_final_goods_-_Furniture_and_furnishings</t>
  </si>
  <si>
    <t>Plastic_in_final_goods_-_Electrical/electronic</t>
  </si>
  <si>
    <t>Plastic_in_final_goods_-_Building_and_construction</t>
  </si>
  <si>
    <t>Plastic_containing_and_packaging_-_Gross_addition_to_in-use_stock</t>
  </si>
  <si>
    <t>Plastic_in_final_goods_-_Packaging</t>
  </si>
  <si>
    <t>Plastic_in_final_goods_-_Transportation</t>
  </si>
  <si>
    <t>Manufacturing</t>
  </si>
  <si>
    <t>Industrial_waste</t>
  </si>
  <si>
    <t>Use</t>
  </si>
  <si>
    <t>Intermediate_plastics</t>
  </si>
  <si>
    <t>P1</t>
  </si>
  <si>
    <t>Polymer_resins</t>
  </si>
  <si>
    <t>Monomers</t>
  </si>
  <si>
    <t>Feedstock</t>
  </si>
  <si>
    <t>Flow_ref_number</t>
  </si>
  <si>
    <t>Quantity</t>
  </si>
  <si>
    <t>To</t>
  </si>
  <si>
    <t>From</t>
  </si>
  <si>
    <t>Notes:_The_"Flow_ref_number"_column_refers_to_the_numbering_of_flows_as_it_appears_in_Figure_S1,_Figure_S2,_and_Table_S1_of_the_supplementary_material.</t>
  </si>
  <si>
    <t>Units:_Gigagrams_(Gg)</t>
  </si>
  <si>
    <t>Title:_Material_flow_analysis_of_plastics_in_the_United_States_in_2015</t>
  </si>
  <si>
    <t>Industrial Waste - Landfill</t>
  </si>
  <si>
    <t>Final Goods Manufacturing</t>
  </si>
  <si>
    <t>Exported Resins</t>
  </si>
  <si>
    <t>Material Recovery Facility</t>
  </si>
  <si>
    <t>Recycling Output - Resins</t>
  </si>
  <si>
    <t>Recycling Output - Landfill</t>
  </si>
  <si>
    <t>Sankey Data for Modeling in SankeyMatic (EPA SMM EOL)</t>
  </si>
  <si>
    <t>Sankey Data for Modeling in SankeyMatic (Di et al. 2020 EOL)</t>
  </si>
  <si>
    <t>Di et al. 2020 - EOL Distritbutions</t>
  </si>
  <si>
    <t>Mapping Di et al. to ACC Resin Categories</t>
  </si>
  <si>
    <t>Total Flow (MMT)</t>
  </si>
  <si>
    <t>Total (Check)</t>
  </si>
  <si>
    <t>Total Waste Flows</t>
  </si>
  <si>
    <t>MRF Output Flows</t>
  </si>
  <si>
    <t>Di et al. Proxy</t>
  </si>
  <si>
    <t>EPA</t>
  </si>
  <si>
    <t>Di et. Al.</t>
  </si>
  <si>
    <t>Mapping Di et al. to EPA Resin Categories</t>
  </si>
  <si>
    <t>Yes</t>
  </si>
  <si>
    <t>No</t>
  </si>
  <si>
    <t>Production Flow?</t>
  </si>
  <si>
    <t>Bandwidth Assessment for Plastics Diversion/Recovery</t>
  </si>
  <si>
    <t>Landfilled</t>
  </si>
  <si>
    <t>Plastics End-of-Life Scenarios</t>
  </si>
  <si>
    <t>Waste Category</t>
  </si>
  <si>
    <t>Incineration</t>
  </si>
  <si>
    <t>Exported Recyclables</t>
  </si>
  <si>
    <t>Mechanical Recycling</t>
  </si>
  <si>
    <t>Ammonolysis</t>
  </si>
  <si>
    <t>Glycolysis</t>
  </si>
  <si>
    <t>Hydrogenation</t>
  </si>
  <si>
    <t>Hydrolysis</t>
  </si>
  <si>
    <t>Aminolysis</t>
  </si>
  <si>
    <t>Methanolysis</t>
  </si>
  <si>
    <t>Pyrolysis</t>
  </si>
  <si>
    <t>Acidolysis</t>
  </si>
  <si>
    <t>Phosphorolysis</t>
  </si>
  <si>
    <t>Supercritical Butane Solvent Process</t>
  </si>
  <si>
    <t>Cymene Solvent Process</t>
  </si>
  <si>
    <t>Current Typical</t>
  </si>
  <si>
    <t>State of the Art</t>
  </si>
  <si>
    <t>Practical Minimum</t>
  </si>
  <si>
    <t>Theoretical Minimum</t>
  </si>
  <si>
    <t>Theoretical Minimum Scenario - Practical minimum with zero waste (Pyrolysis uncapped)</t>
  </si>
  <si>
    <t>Practical Minimum Scenario - Commercial/pilot/demonstration scale are viable and will expand capacity rapidly, Laboratory scale technologies will become viable, but will not grow as rapidly as commercial scale</t>
  </si>
  <si>
    <t>Capped all Pyrolysis at 30% of total stream</t>
  </si>
  <si>
    <t>Capped all Pyrolysis at 60% of total stream</t>
  </si>
  <si>
    <t>Current Baseline</t>
  </si>
  <si>
    <t>Theoretical Maximum</t>
  </si>
  <si>
    <t>Practical Maximum</t>
  </si>
  <si>
    <t>Baseline</t>
  </si>
  <si>
    <t>Post-Consumer Resin Stock</t>
  </si>
  <si>
    <t>State of the Art Scenario - Commercial scale is viable and most likely to expand capacity, Demonstration/pilot scale technologies will become viable, but will not grow as rapidly as commercial scale</t>
  </si>
  <si>
    <t>Current Scale</t>
  </si>
  <si>
    <t>Accepted Resins</t>
  </si>
  <si>
    <t>LDPE, LLDPE</t>
  </si>
  <si>
    <t>CalRecycle 2021</t>
  </si>
  <si>
    <t>Nexant 2021</t>
  </si>
  <si>
    <t>Commercial</t>
  </si>
  <si>
    <t>EPA 2021</t>
  </si>
  <si>
    <t>LDPE, HDPE, PP, PS, EPS, PVC, PET, Polycarbonate</t>
  </si>
  <si>
    <t>Varies by resin</t>
  </si>
  <si>
    <t>PET, Polyamide nylon</t>
  </si>
  <si>
    <t>Lab</t>
  </si>
  <si>
    <t>PU, PET, Polyamide nylon, Polycarbonate</t>
  </si>
  <si>
    <t>PU</t>
  </si>
  <si>
    <t>PU, PET, Polycarbonate</t>
  </si>
  <si>
    <t>PET, Polycarbonate</t>
  </si>
  <si>
    <t>Pilot</t>
  </si>
  <si>
    <t>Tables and Figures for Paper</t>
  </si>
  <si>
    <t>Scenario</t>
  </si>
  <si>
    <t>Description</t>
  </si>
  <si>
    <t>Only commercial scale is viable and most likely to expand capacity. Pyrolysis of resins capped at 10% of total flow.</t>
  </si>
  <si>
    <t>All except PVC</t>
  </si>
  <si>
    <t>Commercial scale is viable and most likely to expand capacity. Pilot scale technologies will become viable, but will not grow as rapidly as commercial scale. Pyrolysis is capped at 30%, and incineration is capped at 10%.</t>
  </si>
  <si>
    <t>Commercial and scales are viable and will expand capacity rapidly. Laboratory scale technologies will become viable, but will not grow as rapidly as commercial and pilot scales. Pyrolysis is capped at 60%, and incineration is capped at 10%.</t>
  </si>
  <si>
    <t>Commercial and scales are viable and will expand capacity rapidly. Laboratory scale technologies will become viable, but will not grow as rapidly as commercial and pilot scales. Incineration is capped at 10%.</t>
  </si>
  <si>
    <t>Recovery Caps for Bandwidth Assessment</t>
  </si>
  <si>
    <t>Select cap type</t>
  </si>
  <si>
    <t>By Resin</t>
  </si>
  <si>
    <t>Lists</t>
  </si>
  <si>
    <t>Recovery cap type</t>
  </si>
  <si>
    <t>By consumption category</t>
  </si>
  <si>
    <t>By resin type</t>
  </si>
  <si>
    <t>By Conusmption Category</t>
  </si>
  <si>
    <t>Max % Recoverable</t>
  </si>
  <si>
    <t>For Bandwidth Analysis</t>
  </si>
  <si>
    <t>Combination of User Provided Consumption-Category Caps and Consumption Data</t>
  </si>
  <si>
    <t>Resin recoverable cap</t>
  </si>
  <si>
    <t>Overall Increase</t>
  </si>
  <si>
    <t>Post-Consumer Resin Generated</t>
  </si>
  <si>
    <t>Tire Product Recovery</t>
  </si>
  <si>
    <t>Primary Reagent (Chemical Recycling)</t>
  </si>
  <si>
    <t>Recycling Type</t>
  </si>
  <si>
    <t>Chemical solvent-based</t>
  </si>
  <si>
    <t>Chemical depolymerization</t>
  </si>
  <si>
    <t>Ammonia (PET) or 4-dimethylaminopyridine (polyamide)</t>
  </si>
  <si>
    <t>Shipping plastic waste to international facilities for recycling</t>
  </si>
  <si>
    <t>Combustion of plastic waste</t>
  </si>
  <si>
    <t>N/A</t>
  </si>
  <si>
    <t>Monoethylene glycol</t>
  </si>
  <si>
    <t>Hydrogen</t>
  </si>
  <si>
    <t>Water</t>
  </si>
  <si>
    <t xml:space="preserve">Dibutylamine, ethanolamine, lactam, alkanolamine, methylamine, ethylamine </t>
  </si>
  <si>
    <t>Methanol</t>
  </si>
  <si>
    <t>Thermal conversion</t>
  </si>
  <si>
    <t>Hydrochloric acid, succinic acid</t>
  </si>
  <si>
    <t>Phosphonic acid, phosphoric acid</t>
  </si>
  <si>
    <t>Cymene</t>
  </si>
  <si>
    <t>Supercritical butane</t>
  </si>
  <si>
    <t>End-of-Life Pathway</t>
  </si>
  <si>
    <t>Physical downcycling of SBR into tire-derived products</t>
  </si>
  <si>
    <t>SBR</t>
  </si>
  <si>
    <t>CalRecycle 2019</t>
  </si>
  <si>
    <t>Enzymatic Recycling</t>
  </si>
  <si>
    <t>Enzyme-based recovery</t>
  </si>
  <si>
    <t>Operating Entities</t>
  </si>
  <si>
    <t>Carbios</t>
  </si>
  <si>
    <t>Tournier: https://www.nature.com/articles/s41586-020-2149-4</t>
  </si>
  <si>
    <t>Knott: https://www.pnas.org/doi/10.1073/pnas.2006753117</t>
  </si>
  <si>
    <t>Sites nationwide</t>
  </si>
  <si>
    <t>Agilyx, Pyrowave</t>
  </si>
  <si>
    <t>Dow Chemical</t>
  </si>
  <si>
    <t>RAMPF Eco Solutions, H&amp;S Anglagentechnik</t>
  </si>
  <si>
    <t>PureCycle</t>
  </si>
  <si>
    <t>Polystyveryt</t>
  </si>
  <si>
    <t>Output Products</t>
  </si>
  <si>
    <t>Thermal energy</t>
  </si>
  <si>
    <t>Downcycled products</t>
  </si>
  <si>
    <t>Clean, extruded resins suitable for virgin material replacement, downcycling, or further processing for reuse</t>
  </si>
  <si>
    <t>Post-consumer resin monomers</t>
  </si>
  <si>
    <t>Naphtha or diesel depending on process</t>
  </si>
  <si>
    <t>Physical sorting, size reduction, and extrusion of single or mixed plastic waste streams</t>
  </si>
  <si>
    <t>MFA Stage</t>
  </si>
  <si>
    <t>Consumption</t>
  </si>
  <si>
    <t xml:space="preserve">Plastic production by resin type </t>
  </si>
  <si>
    <t>Plastic consumption by resin type and general economic sector</t>
  </si>
  <si>
    <t>Plastic flows to disposal pathways by resin, including landfilling, combustion with energy recovery, and recycling/recovery pathways</t>
  </si>
  <si>
    <t>Exports of virgin and post-consumer resins</t>
  </si>
  <si>
    <t>Di et al. 2021</t>
  </si>
  <si>
    <t>Midpoint (MMT)</t>
  </si>
  <si>
    <t>Midpoint</t>
  </si>
  <si>
    <t>Transfer Station</t>
  </si>
  <si>
    <t>Selected E-Waste</t>
  </si>
  <si>
    <t>% Recycled of Total Generation</t>
  </si>
  <si>
    <t>E-Waste Recycling</t>
  </si>
  <si>
    <t>Midpoints</t>
  </si>
  <si>
    <t>Automotive Shredding Facility</t>
  </si>
  <si>
    <t>Unconstrained Sorting Limits on Recycling</t>
  </si>
  <si>
    <t>Data Compilation Calculations for Sankey Using Di et al. 2021 End-of-Life</t>
  </si>
  <si>
    <t>Data Compilation Calculations for Sankey Using EPA Sustainable Materials Management End-of-Life</t>
  </si>
  <si>
    <t>PU, Polyamid nylon, PET</t>
  </si>
  <si>
    <t>Nexant 2021, Li et al. 2022</t>
  </si>
  <si>
    <t>Li et al. : https://chemrxiv.org/engage/chemrxiv/article-details/62575f70ebac3a262fd3e505</t>
  </si>
  <si>
    <t>Tournier et al. 2020, Knott et al. 2020, Li et al. 2022</t>
  </si>
  <si>
    <t>Nexant 2021, Damayanti and Wu 2021, Li et al. 2022</t>
  </si>
  <si>
    <t>Vollmer et al. 2020 Li et al. 2022</t>
  </si>
  <si>
    <t>Vollmer et al. 2020, Li et al. 2022</t>
  </si>
  <si>
    <t>Circ, Gr3n, Loop Industries, RESYNTEX, DePoly</t>
  </si>
  <si>
    <t>Eastman, Loop Industries</t>
  </si>
  <si>
    <t>Aquafil, Axens, Eastman, Garbo, Ioniqa, perPETual Global Techs, Petrobras, Poseidon Plastics, Starkweather Labs, Teijin Chemicals, JEPLAN, IBM</t>
  </si>
  <si>
    <t>Constrained Sorting Limits on Recycling</t>
  </si>
  <si>
    <t>Theoretical Minimum Scenario - Practical minimum with zero waste</t>
  </si>
  <si>
    <t>MMT - Constrained Sorting</t>
  </si>
  <si>
    <t>Current Typical (Baseline)</t>
  </si>
  <si>
    <t>MMT - Unconstrained Sorting</t>
  </si>
  <si>
    <t>Flows to Landfills</t>
  </si>
  <si>
    <t>Recoverability User Settings</t>
  </si>
  <si>
    <t>Post-Consumer Resin Stocks</t>
  </si>
  <si>
    <t>Post-consumer resin polymers</t>
  </si>
  <si>
    <t>Other Beneficial Reuse</t>
  </si>
  <si>
    <t>Other beneficial reuse</t>
  </si>
  <si>
    <t>Bales to Domestic Recyclers</t>
  </si>
  <si>
    <t>Exported Bales</t>
  </si>
  <si>
    <t>No Data</t>
  </si>
  <si>
    <t>Summary of Techs</t>
  </si>
  <si>
    <t>Chemical Depolymerization</t>
  </si>
  <si>
    <t>Resin</t>
  </si>
  <si>
    <t>End-of-Life Pathway Adjustments for Transfer Station/Automotive Shredding</t>
  </si>
  <si>
    <t>Recycling Rate</t>
  </si>
  <si>
    <t>% Reduction (Total)</t>
  </si>
  <si>
    <t>% Reduction (PP)</t>
  </si>
  <si>
    <t>Increase (Total)</t>
  </si>
  <si>
    <t>Plastics Insights 2021</t>
  </si>
  <si>
    <t>PET Resin Association 2021</t>
  </si>
  <si>
    <t>Heller et al. 2020</t>
  </si>
  <si>
    <t>ACC PU Report 2020</t>
  </si>
  <si>
    <t>Grandview Research 2021</t>
  </si>
  <si>
    <t>Assumed used in "Other end uses"</t>
  </si>
  <si>
    <t>MFA Stage / Resin</t>
  </si>
  <si>
    <t>Nexant 2021, Nordahl et al. 2022, Damayanti and Wu 2021, Li et al. 2022</t>
  </si>
  <si>
    <t>Nexant 2021, Damayanti and Wu 2021, Jeswani et al. 2021</t>
  </si>
  <si>
    <t>https://www.plasticsinsight.com/resin-intelligence/resin-prices/sbr-plastic/</t>
  </si>
  <si>
    <t>SBR Landfill Diversion Data</t>
  </si>
  <si>
    <t>Source: https://www.ustires.org/scrap-tire-markets</t>
  </si>
  <si>
    <t>Tire Derived Fuel</t>
  </si>
  <si>
    <t>Total Diverted</t>
  </si>
  <si>
    <t>Production Year</t>
  </si>
  <si>
    <t>Total Annual Production (MT)</t>
  </si>
  <si>
    <t xml:space="preserve">% of Total Use (Excluding Exports) </t>
  </si>
  <si>
    <t>In-Use Stock Calculations</t>
  </si>
  <si>
    <t>Tonnage (MMT) disposed of in 2019</t>
  </si>
  <si>
    <t>Total disposed of in 2019(MMT)</t>
  </si>
  <si>
    <t>Changes in In-Use Stock</t>
  </si>
  <si>
    <t>Disposed</t>
  </si>
  <si>
    <t>In-Use</t>
  </si>
  <si>
    <t>Resins to Disposal</t>
  </si>
  <si>
    <t>Data Type</t>
  </si>
  <si>
    <t>HTS Number</t>
  </si>
  <si>
    <t>Rate Provision Code</t>
  </si>
  <si>
    <t>Quantity Description</t>
  </si>
  <si>
    <t>Year 2019</t>
  </si>
  <si>
    <t>MFA Resin Category</t>
  </si>
  <si>
    <t>Cost ($/kg)</t>
  </si>
  <si>
    <t>MT</t>
  </si>
  <si>
    <t>Customs Value</t>
  </si>
  <si>
    <t>3901.10.1000</t>
  </si>
  <si>
    <t>POLYETHYLENE HAVING A SPECIFIC GRAVITY OF LESS THAN 0.94, HAVING A RELATIVE VISCOSITY OF 1.44 OR MORE</t>
  </si>
  <si>
    <t>00 - Free into bonded warehouse or FTZ</t>
  </si>
  <si>
    <t>kilograms</t>
  </si>
  <si>
    <t>18 - Free special duty programs</t>
  </si>
  <si>
    <t>61 - Dutiable HS chapters 1-97</t>
  </si>
  <si>
    <t>69 - Dutiable- HS chapter 99, duty reported</t>
  </si>
  <si>
    <t>3901.10.5010</t>
  </si>
  <si>
    <t>POLYETHYLENE HAVING A SPECIFIC GRAVITY OF LESS THAN 0.94,LINEAR LOW DENSITY POLYETHYLENE, NESOI</t>
  </si>
  <si>
    <t>3901.10.5020</t>
  </si>
  <si>
    <t>LOW DENSITY POLYETHYLENE, EXCEPT LINEAR LOW DENSITY POLYETHYLENE, WITH A SPECIFIC GRAVITY OF LESS THAN 0.94, NESOI</t>
  </si>
  <si>
    <t>79 - Dutiable HS Chapter 99, no duty reported</t>
  </si>
  <si>
    <t>3901.10.5030</t>
  </si>
  <si>
    <t>POLYETHYLENE HAVING A SPECIFIC GRAVITY OF LESS THAN 0.94,MEDIUM DENSITY POLYETHYLENE, NESOI</t>
  </si>
  <si>
    <t>3901.20.1000</t>
  </si>
  <si>
    <t>POLYETHYLENE HAVING A SPECIFIC GRAVITY OF 0.94 OR MORE AND HAVING A RELATIVE VISCOSITY OF 1.44 OR MORE</t>
  </si>
  <si>
    <t>3901.20.5000</t>
  </si>
  <si>
    <t>POLYETHYLENE HAVING A SPECIFIC GRAVITY OF 0.94 OR MORE, NESOI</t>
  </si>
  <si>
    <t>3901.30.2000</t>
  </si>
  <si>
    <t>ETHYLENE-VINYL ACETATE COPOLY:VINYL AC-VIN CHLOR-ETH TERPOLY CONTG BY WGT &lt;50% DERIV. OF VINYL ACETATE, EXC POLYMERIZED FROM AROM/MOD MONOMERS</t>
  </si>
  <si>
    <t>10 - Free under HS Chapters 1-98</t>
  </si>
  <si>
    <t>3901.30.6000</t>
  </si>
  <si>
    <t>ETHYLENE-VINYL ACETATE COPOLYMERS, NESOI</t>
  </si>
  <si>
    <t>3901.40.0000</t>
  </si>
  <si>
    <t>ETHYLENE-ALPHA-OLEFIN COPOLYMERS, HAVING A SPECIFIC GRAVITY OF LESS THAN 0.94</t>
  </si>
  <si>
    <t>3901.90.1000</t>
  </si>
  <si>
    <t>POLYMERS OF ETHYLENE IN PRIMARY FORM,ELASTOMERIC</t>
  </si>
  <si>
    <t>19 - Free HS Chapter 99</t>
  </si>
  <si>
    <t>3901.90.5501</t>
  </si>
  <si>
    <t>ETHYLENE COPOLYMERS</t>
  </si>
  <si>
    <t>3901.90.9000</t>
  </si>
  <si>
    <t>POLYMERS OF ETHYLENE IN PRIMARY FORM,NESOI</t>
  </si>
  <si>
    <t>3902.10.0000</t>
  </si>
  <si>
    <t>POLYPROPYLENE</t>
  </si>
  <si>
    <t>3902.20.1000</t>
  </si>
  <si>
    <t>POLYISOBUTYLENE,ELASTOMERIC</t>
  </si>
  <si>
    <t>3902.20.5000</t>
  </si>
  <si>
    <t>POLYISOBUTYLENE,NESOI</t>
  </si>
  <si>
    <t>3902.30.0000</t>
  </si>
  <si>
    <t>PROPYLENE COPOLYMERS</t>
  </si>
  <si>
    <t>3902.90.0010</t>
  </si>
  <si>
    <t>POLYBUTYLENE</t>
  </si>
  <si>
    <t>3902.90.0050</t>
  </si>
  <si>
    <t>POLYMERS OF PROPYLENE OR OF OTHER OLEFINS,IN PRIMARY FORMS,NESOI</t>
  </si>
  <si>
    <t>3903.11.0000</t>
  </si>
  <si>
    <t>POLYSTYRENE,EXPANDABLE</t>
  </si>
  <si>
    <t>3903.19.0000</t>
  </si>
  <si>
    <t>POLYSTYRENE,NESOI</t>
  </si>
  <si>
    <t>11 - Entered into U.S. Virgin Islands</t>
  </si>
  <si>
    <t>3903.20.0000</t>
  </si>
  <si>
    <t>STYRENE-ACRYLONITRILE (SAN) COPOLYMERS</t>
  </si>
  <si>
    <t>3903.30.0000</t>
  </si>
  <si>
    <t>ACRYLONITRILE-BUTADIENE-STYRENE (ABS) COPOLYMERS</t>
  </si>
  <si>
    <t>64 - Dutiable HS Chapters 1-97special rates</t>
  </si>
  <si>
    <t>3903.90.1000</t>
  </si>
  <si>
    <t>METHYL METHACRYLATE-BUTADIENE-STYRENE(MBS)COPOLYMR</t>
  </si>
  <si>
    <t>3903.90.5000</t>
  </si>
  <si>
    <t>POLYMERS OF STYRENE,IN PRIMARY FORMS,NESOI</t>
  </si>
  <si>
    <t>3904.10.0000</t>
  </si>
  <si>
    <t>POLYVINYL CHLORIDE,NOT MIXED WITH ANY OTHER SUBSTANCES</t>
  </si>
  <si>
    <t>17 - Free, items for the handicapped</t>
  </si>
  <si>
    <t>3904.21.0000</t>
  </si>
  <si>
    <t>OTHER POLYMERS OF POLYVINYL CHLORIDE,NONPLASTICIZED</t>
  </si>
  <si>
    <t>3904.22.0000</t>
  </si>
  <si>
    <t>OTHER POLYMERS OF POLYVINYL CHLORIDE,PLASTICIZED</t>
  </si>
  <si>
    <t>16 - Free U.S. government</t>
  </si>
  <si>
    <t>3904.30.2000</t>
  </si>
  <si>
    <t>VINYL CHLORIDE-VINYL ACETATE COPOLYMERS: VINYL ACETATE-VINYL CHLORIDE-ETHYLENE TERPOLYMERS, W/ BY WT &lt;50% DERIV OF VINYL ACETATE, EXC POLYMERS FM AROM</t>
  </si>
  <si>
    <t>3904.30.6000</t>
  </si>
  <si>
    <t>VINYL CHLORIDE-VINYL ACETATE COPOLYMERS, NESOI</t>
  </si>
  <si>
    <t>3904.40.0000</t>
  </si>
  <si>
    <t>OTHER VINYL CHLORIDE COPOLYMERS</t>
  </si>
  <si>
    <t>3904.50.0000</t>
  </si>
  <si>
    <t>VINYLIDENE CHLORIDE POLYMERS</t>
  </si>
  <si>
    <t>3904.61.0010</t>
  </si>
  <si>
    <t>POLYTETRAFLUOROETHYLENE (PTFE), GRANULAR, WHETHER OR NOT FILLED OR COMPOUNDED (SEE STAT. NOTE 2 TO THIS CHAPTER)</t>
  </si>
  <si>
    <t>3904.61.0090</t>
  </si>
  <si>
    <t>POLYTETRAFLUOROETHYLENE (PTFE), OTHER THAN GRANULAR</t>
  </si>
  <si>
    <t>3904.69.1000</t>
  </si>
  <si>
    <t>OTHER FLUORO-POLYMERS,ELASTOMERIC</t>
  </si>
  <si>
    <t>3904.69.5000</t>
  </si>
  <si>
    <t>OTHER FLUORO-POLYMERS,EXCEPT ELASTOMERIC</t>
  </si>
  <si>
    <t>3904.90.1000</t>
  </si>
  <si>
    <t>POLYMERS OF OTHER HALOGENATED OLEFINS,IN PRIMARY FORM,ELASTOMERIC</t>
  </si>
  <si>
    <t>3904.90.5000</t>
  </si>
  <si>
    <t>POLYMERS OF OTHER HALOGENATED OLEFINS,IN PRIMARY FORM,EXCEPT ELASTOMERIC</t>
  </si>
  <si>
    <t>3905.12.0000</t>
  </si>
  <si>
    <t>POLYMERS OF VINYL ACETATE, IN AQUEOUS DISPERSION</t>
  </si>
  <si>
    <t>3905.19.0000</t>
  </si>
  <si>
    <t>POLYMERS OF VINYL ACETATE,NOT IN AQUEOUS DISPERSION</t>
  </si>
  <si>
    <t>3905.21.0000</t>
  </si>
  <si>
    <t>VINYL ACETATE COPOLYMERS, IN AQUEOUS DISPERSION</t>
  </si>
  <si>
    <t>3905.29.0000</t>
  </si>
  <si>
    <t>VINYL ACETATE COPOLYMERS, NESOI</t>
  </si>
  <si>
    <t>3905.30.0000</t>
  </si>
  <si>
    <t>POLYVINYL ALCOHOLS, WHETHER OR NOT CONTAINING UNHYDROLYZED ACETATE GROUPS</t>
  </si>
  <si>
    <t>3905.91.1000</t>
  </si>
  <si>
    <t>VINYL COPOLYMERS IN PRIMARY FORMS: CONTAINING BY WEIGHT 50% OR MORE OF DERIVATIVES OF VINYL ACETATE</t>
  </si>
  <si>
    <t>3905.91.5000</t>
  </si>
  <si>
    <t>VINYL COPOLYMERS IN PRIMARY FORMS, NESOI</t>
  </si>
  <si>
    <t>3905.99.3000</t>
  </si>
  <si>
    <t>POLYVINYL CARBAZOLE (INCLUDING ADJUVANTS)</t>
  </si>
  <si>
    <t>3905.99.8000</t>
  </si>
  <si>
    <t>OTHER VINYL POLYMERS IN PRIMARY FORMS,NESOI</t>
  </si>
  <si>
    <t>3906.10.0000</t>
  </si>
  <si>
    <t>POLYMETHYL METHACRYLATE</t>
  </si>
  <si>
    <t>3906.90.1000</t>
  </si>
  <si>
    <t>OTHER ACRYLIC POLYMERS IN PRIMARY FORMS,ELASTOMERIC</t>
  </si>
  <si>
    <t>3906.90.2000</t>
  </si>
  <si>
    <t>PLASTIC ACRYLIC POLYMERS IN PRIMARY FORMS</t>
  </si>
  <si>
    <t>3906.90.5000</t>
  </si>
  <si>
    <t>OTHER ACRYLIC POLYMERS IN PRIMARY FORMS (EXCLUDING PLASTICS)</t>
  </si>
  <si>
    <t>3907.10.0000</t>
  </si>
  <si>
    <t>POLYACETALS</t>
  </si>
  <si>
    <t>3907.20.0000</t>
  </si>
  <si>
    <t>OTHER POLYETHERS</t>
  </si>
  <si>
    <t>3907.30.0000</t>
  </si>
  <si>
    <t>EPOXIDE RESINS</t>
  </si>
  <si>
    <t>3907.40.0000</t>
  </si>
  <si>
    <t>POLYCARBONATES</t>
  </si>
  <si>
    <t>3907.50.0000</t>
  </si>
  <si>
    <t>ALKYD RESINS</t>
  </si>
  <si>
    <t>3907.61.0010</t>
  </si>
  <si>
    <t>POLYETHYLENE TEREPHTHALATE HAVING A VISCOSITY NUMBER OF 78 ML/G OR MORE BUT NOT MORE THAN 88 ML/G</t>
  </si>
  <si>
    <t>3907.61.0050</t>
  </si>
  <si>
    <t>POLYETHYLENE TEREPHTHALATE HAVING A VISCOSITY NUMBER OF MORE THAN 88 ML/G</t>
  </si>
  <si>
    <t>3907.69.0010</t>
  </si>
  <si>
    <t>OTHER POLYETHYLENE TEREPHTHALATE HAVING A VISCOSITY NUMBER OF 70 ML/G OR MORE BUT LESS THAN 78 ML/G</t>
  </si>
  <si>
    <t>3907.69.0050</t>
  </si>
  <si>
    <t>OTHER POLYETHYLENE TEREPHTHALATE HAVING A VISCOSITY NUMBER OF 78 ML/G OR MORE</t>
  </si>
  <si>
    <t>3907.70.0000</t>
  </si>
  <si>
    <t>POLY(LACTIC ACID)</t>
  </si>
  <si>
    <t>3907.91.2000</t>
  </si>
  <si>
    <t>UNSATURATED ALLYL RESINS,UNCOMPOUNDED</t>
  </si>
  <si>
    <t>3907.91.4000</t>
  </si>
  <si>
    <t>UNSATURATED ALLYL RESINS, NESOI</t>
  </si>
  <si>
    <t>3907.91.5000</t>
  </si>
  <si>
    <t>UNSATURATED POLYESTERS, NESOI</t>
  </si>
  <si>
    <t>3907.99.2000</t>
  </si>
  <si>
    <t>THERMOPLASTIC LIQUID CRYSTAL AROMATIC POLYESTER COPOLYMERS</t>
  </si>
  <si>
    <t>3907.99.5010</t>
  </si>
  <si>
    <t>POLYBUTYLENE TEREPHTHLATE, NESOI</t>
  </si>
  <si>
    <t>3907.99.5050</t>
  </si>
  <si>
    <t>POLYESTERS,NESOI</t>
  </si>
  <si>
    <t>3908.10.0000</t>
  </si>
  <si>
    <t>POLYAMIDE-6,-11,-12,-6,6,-6,9,-6,10 OR -6,12</t>
  </si>
  <si>
    <t>3908.90.2000</t>
  </si>
  <si>
    <t>BIS(4-AMINO-3-METHYLCYCLOHEXYL)METHANE-ISOPHTHALIC ACID-LAUROLACTAM COPOLYMER</t>
  </si>
  <si>
    <t>3908.90.7000</t>
  </si>
  <si>
    <t>OTHER POLYAMIDES IN PRIMARY FORMS</t>
  </si>
  <si>
    <t>3909.10.0000</t>
  </si>
  <si>
    <t>UREA RESINS,THIOUREA RESINS</t>
  </si>
  <si>
    <t>3909.20.0000</t>
  </si>
  <si>
    <t>MELAMINE RESINS</t>
  </si>
  <si>
    <t>3909.31.0000</t>
  </si>
  <si>
    <t>OTHER AMINO-RESINS; POLY(METHYLENE PHENYL ISOCYANATE)(CRUDE MDI, POLYMERIC MDI)</t>
  </si>
  <si>
    <t>3909.39.0000</t>
  </si>
  <si>
    <t>OTHER AMINO-RESINS</t>
  </si>
  <si>
    <t>3909.40.0000</t>
  </si>
  <si>
    <t>PHENOLIC RESINS</t>
  </si>
  <si>
    <t>3909.50.1000</t>
  </si>
  <si>
    <t>POLYURETHANES,ELASTOMERIC</t>
  </si>
  <si>
    <t>3909.50.2000</t>
  </si>
  <si>
    <t>POLYURETHANES,CEMENTS</t>
  </si>
  <si>
    <t>3909.50.5000</t>
  </si>
  <si>
    <t>POLYURETHANES,IN PRIMARY FORMS,NESOI</t>
  </si>
  <si>
    <t>3910.00.0000</t>
  </si>
  <si>
    <t>SILICONES IN PRIMARY FORMS</t>
  </si>
  <si>
    <t>Summary</t>
  </si>
  <si>
    <t>copolymers</t>
  </si>
  <si>
    <t>other resins</t>
  </si>
  <si>
    <t>Copolymers</t>
  </si>
  <si>
    <t>Other resins</t>
  </si>
  <si>
    <t>USD</t>
  </si>
  <si>
    <t>NAIC Number</t>
  </si>
  <si>
    <t>311111</t>
  </si>
  <si>
    <t>DOG &amp; CAT FOODS</t>
  </si>
  <si>
    <t>311119</t>
  </si>
  <si>
    <t>OTHER ANIMAL FOODS</t>
  </si>
  <si>
    <t>311211</t>
  </si>
  <si>
    <t>FLOUR &amp; OTHER GRAIN MILL PRODUCTS</t>
  </si>
  <si>
    <t>311212</t>
  </si>
  <si>
    <t>MILLED RICE &amp; BY-PRODUCTS</t>
  </si>
  <si>
    <t>311213</t>
  </si>
  <si>
    <t>MALTS</t>
  </si>
  <si>
    <t>311221</t>
  </si>
  <si>
    <t>WET CORN MILLING PRODUCTS</t>
  </si>
  <si>
    <t>311224</t>
  </si>
  <si>
    <t>SOYBEAN OIL &amp; OTHER OILSEED</t>
  </si>
  <si>
    <t>311225</t>
  </si>
  <si>
    <t>MARGARINE &amp; EDIBLE FATS &amp; OILS</t>
  </si>
  <si>
    <t>311230</t>
  </si>
  <si>
    <t>BREAKFAST CEREALS</t>
  </si>
  <si>
    <t>31131X</t>
  </si>
  <si>
    <t>SUGARS</t>
  </si>
  <si>
    <t>311340</t>
  </si>
  <si>
    <t>NONCHOCOLATE CONFECTIONERY PRODUCTS</t>
  </si>
  <si>
    <t>31135X</t>
  </si>
  <si>
    <t>CHOCOLATE AND CONFECTIONERY FROM CACAO BEANS PRODU</t>
  </si>
  <si>
    <t>311411</t>
  </si>
  <si>
    <t>FROZEN FRUITS, JUICES &amp; VEGETABLES</t>
  </si>
  <si>
    <t>311412</t>
  </si>
  <si>
    <t>FROZEN SPECIALTY FOOD</t>
  </si>
  <si>
    <t>311421</t>
  </si>
  <si>
    <t>FRUITS &amp; VEGETABLES PRESERVED</t>
  </si>
  <si>
    <t>311422</t>
  </si>
  <si>
    <t>SPECIALTY CANNED FOODS</t>
  </si>
  <si>
    <t>311423</t>
  </si>
  <si>
    <t>DRIED &amp; DEHYDRATED FOODS</t>
  </si>
  <si>
    <t>311511</t>
  </si>
  <si>
    <t>FLUID MILK, CREAM &amp; RELATED PRODUCTS</t>
  </si>
  <si>
    <t>311512</t>
  </si>
  <si>
    <t>CREAMERY BUTTER</t>
  </si>
  <si>
    <t>311513</t>
  </si>
  <si>
    <t>CHEESE</t>
  </si>
  <si>
    <t>311514</t>
  </si>
  <si>
    <t>DRY, CONDENSED, AND EVAPORATED DAIRY PRODUCTS</t>
  </si>
  <si>
    <t>311520</t>
  </si>
  <si>
    <t>ICE CREAM &amp; FROZEN DESSERTS</t>
  </si>
  <si>
    <t>311611</t>
  </si>
  <si>
    <t>MEAT PRODUCTS (EXC POULTRY)</t>
  </si>
  <si>
    <t>311612</t>
  </si>
  <si>
    <t>PROCESSED MEAT</t>
  </si>
  <si>
    <t>311613</t>
  </si>
  <si>
    <t>ANIMAL FATS, OILS &amp; BY-PRODUCTS</t>
  </si>
  <si>
    <t>311615</t>
  </si>
  <si>
    <t>POULTRY, PREPARED OR PRESERVED</t>
  </si>
  <si>
    <t>311710</t>
  </si>
  <si>
    <t>SEAFOOD PRODS, PREPARED, CANNED &amp; PACKAGED</t>
  </si>
  <si>
    <t>31181X</t>
  </si>
  <si>
    <t>BREAD &amp; BAKERY PRODUCTS</t>
  </si>
  <si>
    <t>311824</t>
  </si>
  <si>
    <t>DRY PASTA, DOUGH, AND FLOUR MIXES FROM PURCH FLOUR</t>
  </si>
  <si>
    <t>311911</t>
  </si>
  <si>
    <t>ROASTED NUTS &amp; PEANUT BUTTER</t>
  </si>
  <si>
    <t>311919</t>
  </si>
  <si>
    <t>OTHER SNACK FOODS</t>
  </si>
  <si>
    <t>311920</t>
  </si>
  <si>
    <t>COFFEE &amp; TEA</t>
  </si>
  <si>
    <t>311930</t>
  </si>
  <si>
    <t>FLAVORING EXTRACTS &amp; SYRUPS</t>
  </si>
  <si>
    <t>311941</t>
  </si>
  <si>
    <t>MAYONNAISE, DRESSINGS &amp; OTH PREPARED SAUCES</t>
  </si>
  <si>
    <t>311942</t>
  </si>
  <si>
    <t>SPICES &amp; EXTRACTS</t>
  </si>
  <si>
    <t>311991</t>
  </si>
  <si>
    <t>PERISHABLE PREPARED FOOD</t>
  </si>
  <si>
    <t>311999</t>
  </si>
  <si>
    <t>OTHER FOODS, NESOI</t>
  </si>
  <si>
    <t>312111</t>
  </si>
  <si>
    <t>SOFT DRINKS</t>
  </si>
  <si>
    <t>312112</t>
  </si>
  <si>
    <t>BOTTLED WATERS</t>
  </si>
  <si>
    <t>312113</t>
  </si>
  <si>
    <t>ICE</t>
  </si>
  <si>
    <t>315110</t>
  </si>
  <si>
    <t>HOSIERY AND SOCKS</t>
  </si>
  <si>
    <t>315190</t>
  </si>
  <si>
    <t>OTHER KNIT APPAREL</t>
  </si>
  <si>
    <t>315220</t>
  </si>
  <si>
    <t>MEN'S AND BOYS' CUT AND SEW APPAREL</t>
  </si>
  <si>
    <t>315240</t>
  </si>
  <si>
    <t>WOMEN'S, GIRLS', AND INFANTS' CUT AND SEW APPAREL</t>
  </si>
  <si>
    <t>315280</t>
  </si>
  <si>
    <t>OTHER CUT &amp; SEW APPAREL</t>
  </si>
  <si>
    <t>315990</t>
  </si>
  <si>
    <t>APPAREL ACCESSORIES &amp; OTHER APPAREL</t>
  </si>
  <si>
    <t>316210</t>
  </si>
  <si>
    <t>FOOTWEAR</t>
  </si>
  <si>
    <t>334111</t>
  </si>
  <si>
    <t>ELECTRONIC COMPUTERS</t>
  </si>
  <si>
    <t>334112</t>
  </si>
  <si>
    <t>COMPUTER STORAGE DEVICES</t>
  </si>
  <si>
    <t>334118</t>
  </si>
  <si>
    <t>COMPUTER TERMINALS &amp;OTHER COMPUT PERIPHERAL EQUIP</t>
  </si>
  <si>
    <t>334210</t>
  </si>
  <si>
    <t>TELEPHONE APPARATUS</t>
  </si>
  <si>
    <t>334220</t>
  </si>
  <si>
    <t>RADIO/TV BROADCAST &amp; WIRELESS COMMUNICATION EQUIP</t>
  </si>
  <si>
    <t>334290</t>
  </si>
  <si>
    <t>OTHER COMMUNICATIONS EQUIPMENT</t>
  </si>
  <si>
    <t>334310</t>
  </si>
  <si>
    <t>AUDIO &amp; VIDEO EQUIPMENT</t>
  </si>
  <si>
    <t>334412</t>
  </si>
  <si>
    <t>PRINTED CIRCUITS</t>
  </si>
  <si>
    <t>334413</t>
  </si>
  <si>
    <t>SEMICONDUCTORS &amp; RELATED DEVICES</t>
  </si>
  <si>
    <t>334416</t>
  </si>
  <si>
    <t>CAPACITORS, RESISTORS, COILS, TRNSFORS,&amp;OTH INDUCT</t>
  </si>
  <si>
    <t>334417</t>
  </si>
  <si>
    <t>ELECTRONIC CONNECTORS, INCLUDING PARTS</t>
  </si>
  <si>
    <t>334418</t>
  </si>
  <si>
    <t>PRINTED CIRCUIT ASSEMBLIES (ELECTRONIC ASSEMBLIES)</t>
  </si>
  <si>
    <t>334419</t>
  </si>
  <si>
    <t>OTHER ELECTRONIC COMPONENTS</t>
  </si>
  <si>
    <t>334510</t>
  </si>
  <si>
    <t>ELECTROMEDICAL APPARATUS</t>
  </si>
  <si>
    <t>334511</t>
  </si>
  <si>
    <t>SEARCH, DETECTION &amp; NAVIGATION INSTRUMENTS</t>
  </si>
  <si>
    <t>334512</t>
  </si>
  <si>
    <t>AUTOMATIC ENVIRONMENTAL CONTROLS</t>
  </si>
  <si>
    <t>334513</t>
  </si>
  <si>
    <t>INDUSTRIAL PROCESS CONTROLS</t>
  </si>
  <si>
    <t>334514</t>
  </si>
  <si>
    <t>TOTAL FLUID METERS &amp; COUNTING DEVICES</t>
  </si>
  <si>
    <t>334515</t>
  </si>
  <si>
    <t>ELECTRICITY MEASURING/TESTING INSTRUMENTS</t>
  </si>
  <si>
    <t>334516</t>
  </si>
  <si>
    <t>ANALYTICAL LABORATORY INSTRUMENTS</t>
  </si>
  <si>
    <t>334517</t>
  </si>
  <si>
    <t>IRRADIATION APPARATUS</t>
  </si>
  <si>
    <t>334519</t>
  </si>
  <si>
    <t>OTHER MEASURING &amp; CONTROLLING DEVICES</t>
  </si>
  <si>
    <t>334613</t>
  </si>
  <si>
    <t>UNRECORDED MAGNETIC AND OPTICAL MEDIA</t>
  </si>
  <si>
    <t>334614</t>
  </si>
  <si>
    <t>SOFTWARE &amp; OTHER PRERECORDED CDS/TAPES/RECORDS</t>
  </si>
  <si>
    <t>335110</t>
  </si>
  <si>
    <t>ELECTRIC LAMP BULBS &amp; PARTS</t>
  </si>
  <si>
    <t>335121</t>
  </si>
  <si>
    <t>RESIDENTIAL ELECTRIC LIGHTING FIXTURES</t>
  </si>
  <si>
    <t>335122</t>
  </si>
  <si>
    <t>COMMERICIAL, INDUSTRIAL, &amp; INSTITUTIAL ELE. FIXTUR</t>
  </si>
  <si>
    <t>335129</t>
  </si>
  <si>
    <t>LIGHTING EQUIPMENT, NESOI</t>
  </si>
  <si>
    <t>335210</t>
  </si>
  <si>
    <t>SMALL ELECTRICAL APPLIANCES</t>
  </si>
  <si>
    <t>335220</t>
  </si>
  <si>
    <t>MAJOR HOUSEHOULD APPLIANCES</t>
  </si>
  <si>
    <t>336111</t>
  </si>
  <si>
    <t>AUTOS &amp; LIGHT DUTY MOTOR VEHICLES, INCL CHASSIS</t>
  </si>
  <si>
    <t>336112</t>
  </si>
  <si>
    <t>LIGHT TRUCK AND UTILITY VEHICLE</t>
  </si>
  <si>
    <t>336120</t>
  </si>
  <si>
    <t>HEAVY DUTY TRUCKS &amp; CHASSIS</t>
  </si>
  <si>
    <t>336211</t>
  </si>
  <si>
    <t>MOTOR VEHICLE BODIES</t>
  </si>
  <si>
    <t>336212</t>
  </si>
  <si>
    <t>TRUCK TRAILERS</t>
  </si>
  <si>
    <t>336213</t>
  </si>
  <si>
    <t>MOTOR HOMES</t>
  </si>
  <si>
    <t>336214</t>
  </si>
  <si>
    <t>TRANSPORTATION EQUIP NESOI INCL TRAILERS &amp; CAMPERS</t>
  </si>
  <si>
    <t>336310</t>
  </si>
  <si>
    <t>MOTOR VEHICLE GASOLINE ENGINES &amp; ENGINE PARTS</t>
  </si>
  <si>
    <t>336320</t>
  </si>
  <si>
    <t>MOTOR VEHICLE ELECTRICAL &amp; ELECTRONIC EQUIP, NESOI</t>
  </si>
  <si>
    <t>336330</t>
  </si>
  <si>
    <t>MOTOR VEHICLE STEERING &amp; SUSPENSION PARTS</t>
  </si>
  <si>
    <t>336340</t>
  </si>
  <si>
    <t>MOTOR VEHICLE BRAKE SYSTEMS</t>
  </si>
  <si>
    <t>336350</t>
  </si>
  <si>
    <t>MOTOR VEHICLE TRANSMISSION &amp; POWER TRAIN PARTS</t>
  </si>
  <si>
    <t>336360</t>
  </si>
  <si>
    <t>MOTOR VEHICLE SEATING &amp; INTERIOR TRIM</t>
  </si>
  <si>
    <t>336370</t>
  </si>
  <si>
    <t>MOTOR VEHICLE METAL STAMPINGS</t>
  </si>
  <si>
    <t>336390</t>
  </si>
  <si>
    <t>OTHER MOTOR VEHICLE PARTS</t>
  </si>
  <si>
    <t>336411</t>
  </si>
  <si>
    <t>AIRCRAFT</t>
  </si>
  <si>
    <t>336412</t>
  </si>
  <si>
    <t>AIRCRAFT ENGINES &amp; ENGINE PARTS</t>
  </si>
  <si>
    <t>336413</t>
  </si>
  <si>
    <t>AIRCRAFT PARTS &amp; AUXILIARY EQUIPMENT, NESOI</t>
  </si>
  <si>
    <t>336414</t>
  </si>
  <si>
    <t>GUIDED MISSILES &amp; SPACE VEHICLES</t>
  </si>
  <si>
    <t>336415</t>
  </si>
  <si>
    <t>MISSILE/SPACE VEH PROPULSION UNITS &amp; PARTS</t>
  </si>
  <si>
    <t>336419</t>
  </si>
  <si>
    <t>MISSILE/SPACE VEH PARTS &amp; AUXILIARY EQUIP, NESOI</t>
  </si>
  <si>
    <t>336510</t>
  </si>
  <si>
    <t>RAILROAD ROLLING STOCK</t>
  </si>
  <si>
    <t>336611</t>
  </si>
  <si>
    <t>SHIPS</t>
  </si>
  <si>
    <t>336612</t>
  </si>
  <si>
    <t>BOATS</t>
  </si>
  <si>
    <t>336991</t>
  </si>
  <si>
    <t>MOTORCYCLES, BICYCLES &amp; PARTS</t>
  </si>
  <si>
    <t>336992</t>
  </si>
  <si>
    <t>MILITARY ARMORED VEHICLE, TANKS &amp; TANK COMPONENTS</t>
  </si>
  <si>
    <t>336999</t>
  </si>
  <si>
    <t>ALL OTHER TRANSPORTATION EQUIPMENT</t>
  </si>
  <si>
    <t>337110</t>
  </si>
  <si>
    <t>WOOD KITCHEN CABINETS &amp; COUNTERTOPS</t>
  </si>
  <si>
    <t>337121</t>
  </si>
  <si>
    <t>UPHOLSTERED HOUSEHOLD FURNITURE</t>
  </si>
  <si>
    <t>337122</t>
  </si>
  <si>
    <t>NONUPHOLSTERED WOOD HOUSEHOLD FURNITURE</t>
  </si>
  <si>
    <t>337124</t>
  </si>
  <si>
    <t>METAL HOUSEHOLD FURNITURE</t>
  </si>
  <si>
    <t>337125</t>
  </si>
  <si>
    <t>HOUSEHOLD FURNITURE (EXCEPT WOOD AND METAL)</t>
  </si>
  <si>
    <t>337127</t>
  </si>
  <si>
    <t>INSTITUTIONAL FURNITURE</t>
  </si>
  <si>
    <t>337211</t>
  </si>
  <si>
    <t>WOOD OFFICE FURNITURE</t>
  </si>
  <si>
    <t>337212</t>
  </si>
  <si>
    <t>CUSTOM ARCHITECTURAL WOODWORK AND MILLWORK</t>
  </si>
  <si>
    <t>337214</t>
  </si>
  <si>
    <t>OFFICE FURNITURE (EXCEPT WOOD)</t>
  </si>
  <si>
    <t>337215</t>
  </si>
  <si>
    <t>SHOWCASES, PARTITIONS, SHELVINGS &amp; LOCKERS</t>
  </si>
  <si>
    <t>337910</t>
  </si>
  <si>
    <t>MATTRESSES</t>
  </si>
  <si>
    <t>337920</t>
  </si>
  <si>
    <t>BLINDS &amp; SHADES</t>
  </si>
  <si>
    <t>339112</t>
  </si>
  <si>
    <t>SURGICAL &amp; MEDICAL INSTRUMENTS</t>
  </si>
  <si>
    <t>339113</t>
  </si>
  <si>
    <t>SURGICAL APPLIANCES &amp; SUPPLIES</t>
  </si>
  <si>
    <t>339114</t>
  </si>
  <si>
    <t>DENTAL EQUIPMENT &amp; SUPPLIES</t>
  </si>
  <si>
    <t>339115</t>
  </si>
  <si>
    <t>OPHTHALMIC GOODS</t>
  </si>
  <si>
    <t>339116</t>
  </si>
  <si>
    <t>DENTAL LABORATORIES PRODUCTS</t>
  </si>
  <si>
    <t>339920</t>
  </si>
  <si>
    <t>SPORTING &amp; ATHLETIC GOODS</t>
  </si>
  <si>
    <t>339930</t>
  </si>
  <si>
    <t>DOLLS, TOYS, AND GAMES</t>
  </si>
  <si>
    <t>Total:</t>
  </si>
  <si>
    <t/>
  </si>
  <si>
    <t>US International Trade Commission - 2019 Import Data for Raw Plastics</t>
  </si>
  <si>
    <t>US International Trade Commission - 2019 Import Data for Plastics in Products</t>
  </si>
  <si>
    <t>Methodology from Heller et al. 2020 - SI Table S3</t>
  </si>
  <si>
    <t>NAICS Code/ Commodity</t>
  </si>
  <si>
    <t>311 Food &amp; Kindred Products</t>
  </si>
  <si>
    <t>31211 Soft Drinks &amp; Ices</t>
  </si>
  <si>
    <t>315 Apparel &amp; Accessories</t>
  </si>
  <si>
    <t>3162 Footwear</t>
  </si>
  <si>
    <t>334 Computer &amp; Electronic Products</t>
  </si>
  <si>
    <t>3351 Electric Lighting Equipment</t>
  </si>
  <si>
    <t>3352 Household Appliances and Misc Machines, Nesoi</t>
  </si>
  <si>
    <t>336 Transportation Equipment</t>
  </si>
  <si>
    <t>337 Furniture &amp; Fixtures</t>
  </si>
  <si>
    <t>3391 Medical Equipment &amp; Supplies</t>
  </si>
  <si>
    <t>33992 Sporting &amp; Athletic Goods</t>
  </si>
  <si>
    <t>33993 Dolls, Toys &amp; Games</t>
  </si>
  <si>
    <t>Million USD (2019)</t>
  </si>
  <si>
    <t>31212 Bottled Water</t>
  </si>
  <si>
    <t>ACC/Trucost 2016 Category</t>
  </si>
  <si>
    <t>ACC/Trucost categories from: https://www.americanchemistry.com/better-policy-regulation/transportation-infrastructure/corporate-average-fuel-economy-cafe-emissions-compliance/resources/plastics-and-sustainability-a-valuation-of-environmental-benefits-costs-and-opportunities-for-continuous-improvement</t>
  </si>
  <si>
    <t>Food</t>
  </si>
  <si>
    <t>Soft drinks and ice</t>
  </si>
  <si>
    <t>Clothing and accessories</t>
  </si>
  <si>
    <t>Footwear</t>
  </si>
  <si>
    <t>Consumer electronics</t>
  </si>
  <si>
    <t>Durable household goods</t>
  </si>
  <si>
    <t>Automobiles</t>
  </si>
  <si>
    <t>Medical and pharmaceutical products</t>
  </si>
  <si>
    <t>Athletic goods</t>
  </si>
  <si>
    <t>Toys</t>
  </si>
  <si>
    <t>Furniture</t>
  </si>
  <si>
    <t>Plastic in Product</t>
  </si>
  <si>
    <t>Plastic in Packaging</t>
  </si>
  <si>
    <t>Inflation</t>
  </si>
  <si>
    <t>2016 to 2019 USD</t>
  </si>
  <si>
    <t>MT/$ Million 2019</t>
  </si>
  <si>
    <t>https://www.bls.gov/data/inflation_calculator.htm</t>
  </si>
  <si>
    <t>MT - ACC Consumption Categories</t>
  </si>
  <si>
    <t>Mapping to Resin Categories</t>
  </si>
  <si>
    <t>Production + Raw Imports</t>
  </si>
  <si>
    <t>Produced and Imported</t>
  </si>
  <si>
    <t>Includes Epoxy, phenolic, urea, melamine, unsaturated polyesters and other themorsets</t>
  </si>
  <si>
    <t>% Difference</t>
  </si>
  <si>
    <t>Year 2019 (USD)</t>
  </si>
  <si>
    <t>Imports Summary Plot</t>
  </si>
  <si>
    <t>Raw Imports</t>
  </si>
  <si>
    <t>Product Imports</t>
  </si>
  <si>
    <t>US Production</t>
  </si>
  <si>
    <t>US Exports</t>
  </si>
  <si>
    <t>$/kg</t>
  </si>
  <si>
    <t>2022 - $/MT in 3rd quarter for US: https://www.chemanalyst.com/Pricing-data/lldpe-6</t>
  </si>
  <si>
    <t>2022 - $/MT in 3rd quarter for US: https://www.chemanalyst.com/Pricing-data/hdpe-7</t>
  </si>
  <si>
    <t>2022 - $/MT in 3rd quarter for US: https://www.chemanalyst.com/Pricing-data/polypropylene-10</t>
  </si>
  <si>
    <t>2022 - $/MT in 2nd quarter for US: https://www.chemanalyst.com/Pricing-data/expanded-polystyrene-65</t>
  </si>
  <si>
    <t>2022 - $/MT in 2nd quarter for US: https://www.chemanalyst.com/Pricing-data/polystyrene-ps-11</t>
  </si>
  <si>
    <t>2022 - $/MT in 2nd quarter for US: https://www.chemanalyst.com/Pricing-data/poly-vinyl-chloride-5</t>
  </si>
  <si>
    <t>2022 - $/MT in 3rd quarter for US: https://www.chemanalyst.com/Pricing-data/acrylonitrile-butadiene-styrene-19</t>
  </si>
  <si>
    <t>2022 - $/MT in 2nd quarter for US: https://www.chemanalyst.com/Pricing-data/polycarbonate-47</t>
  </si>
  <si>
    <t>2022 - $/MT in 2nd quarter for US: https://www.chemanalyst.com/Pricing-data/polyethylene-terephthalate-72</t>
  </si>
  <si>
    <t>2022 - $/MT in 2nd quarter for US: https://www.chemanalyst.com/Pricing-data/polyamide-57</t>
  </si>
  <si>
    <t>2022 - $/MT in 1st quarter for Asia-Pacific: https://www.chemanalyst.com/Pricing-data/polyurethane-pu-resin-1150</t>
  </si>
  <si>
    <t>2022 - $/MT in 3rd quarter for US: https://www.chemanalyst.com/Pricing-data/low-density-polyethylene-ldpe-24</t>
  </si>
  <si>
    <t>2022 to 2019</t>
  </si>
  <si>
    <t>Solvent-Based Recycling</t>
  </si>
  <si>
    <t>Plastic in Products Imports</t>
  </si>
  <si>
    <t>Domestic Production, Raw Imports, and Plastic in Product Imports</t>
  </si>
  <si>
    <t>Domestic Production and Raw Imports</t>
  </si>
  <si>
    <t>Domestic Production</t>
  </si>
  <si>
    <t>Baishakhi Formatting</t>
  </si>
  <si>
    <t>Note: Need to add any new flows to bottom of list - Sankey Model is specifically linked to each cell</t>
  </si>
  <si>
    <t>TOTAL (MMT)</t>
  </si>
  <si>
    <t>US Consumption</t>
  </si>
  <si>
    <t>Total Plastics (MMT)</t>
  </si>
  <si>
    <t>Summary (2019 Data)</t>
  </si>
  <si>
    <t>Net Flow into Use</t>
  </si>
  <si>
    <t>Polymer</t>
  </si>
  <si>
    <t>Practical Min</t>
  </si>
  <si>
    <t>Recoverability</t>
  </si>
  <si>
    <t>Sortability</t>
  </si>
  <si>
    <t>++</t>
  </si>
  <si>
    <t>+++</t>
  </si>
  <si>
    <t>+</t>
  </si>
  <si>
    <t>Theoretical Max</t>
  </si>
  <si>
    <t>Constrained Sorting</t>
  </si>
  <si>
    <t>Unconstrained Sorting</t>
  </si>
  <si>
    <t>3/31/23 - For LDPE, LLDPE, PP, PS: These starting values come from the "CA Waste Flow" spreadsheet, "Detailed Baseline" sheet, cell Q50, reflecting what's being recycled in CA currently (rounded up to nearest 5%)</t>
  </si>
  <si>
    <t>Result Summary Tables</t>
  </si>
  <si>
    <t>Domestic</t>
  </si>
  <si>
    <t>Raw</t>
  </si>
  <si>
    <t>Plastic in Products</t>
  </si>
  <si>
    <t>Flow Into Use</t>
  </si>
  <si>
    <t>Processing</t>
  </si>
  <si>
    <t>Disposal</t>
  </si>
  <si>
    <t>Recovery and Recycling</t>
  </si>
  <si>
    <t>Sankey Diagram Tables</t>
  </si>
  <si>
    <t>https://www.statista.com/statistics/975638/us-polyester-fiber-production-volume/</t>
  </si>
  <si>
    <t>Note - this value is similar to https://www.prnewswire.com/news-releases/polyester-filament-market-to-reach-usd-174-7-billion-by-2032--comprehensive-factmr-study-301469818.html#:~:text=After%20China%20and%20India%2C%20the,over%20the%20previous%20year's%20output.</t>
  </si>
  <si>
    <t>Values assumed based on https://www.xometry.com/resources/materials/uses-of-polyester/ and ACC Business of Chemistry (exports)</t>
  </si>
  <si>
    <t>Scrap Film Collection</t>
  </si>
  <si>
    <t>MRF and Scrap Film Output Flows</t>
  </si>
  <si>
    <r>
      <t>Note</t>
    </r>
    <r>
      <rPr>
        <sz val="12"/>
        <color theme="1"/>
        <rFont val="Calibri"/>
        <family val="2"/>
        <scheme val="minor"/>
      </rPr>
      <t>: we do not use these inputs in the model, these are an artifact of an approach</t>
    </r>
  </si>
  <si>
    <t>Plastics End-of-Life Scenarios - MMT for Sankeys</t>
  </si>
  <si>
    <t>Sankey Modeling - Bandwidth Scenarios - Waste Flow Inputs and Outputs</t>
  </si>
  <si>
    <t>Waste Flow</t>
  </si>
  <si>
    <t>Bandwidth Scenario Sankey - Theoretical Max - Constrained Sorting</t>
  </si>
  <si>
    <t>Bandwidth Scenario Sankey - Theoretical Max - Unconstrained Sorting</t>
  </si>
  <si>
    <t>% of Disposed</t>
  </si>
  <si>
    <t>Total Mass (MMT)</t>
  </si>
  <si>
    <r>
      <t xml:space="preserve">Note: </t>
    </r>
    <r>
      <rPr>
        <sz val="12"/>
        <color theme="1"/>
        <rFont val="Calibri"/>
        <family val="2"/>
        <scheme val="minor"/>
      </rPr>
      <t>Any data from the ACC 2020 Resin Review has been changed from it's original value, which is available for purchase from the ACC.</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</si>
</sst>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_(* \(#,##0.00\);_(* &quot;-&quot;??_);_(@_)"/>
    <numFmt numFmtId="164" formatCode="0.000"/>
    <numFmt numFmtId="165" formatCode="0.0%"/>
    <numFmt numFmtId="166" formatCode="#,##0.000"/>
    <numFmt numFmtId="167" formatCode="0.00000"/>
    <numFmt numFmtId="168" formatCode="0.000000000"/>
    <numFmt numFmtId="169" formatCode="#,##0.0"/>
  </numFmts>
  <fonts count="53" x14ac:knownFonts="1">
    <font>
      <sz val="12"/>
      <color theme="1"/>
      <name val="Calibri"/>
      <family val="2"/>
      <scheme val="minor"/>
    </font>
    <font>
      <sz val="12"/>
      <color rgb="FFFF0000"/>
      <name val="Calibri"/>
      <family val="2"/>
      <scheme val="minor"/>
    </font>
    <font>
      <sz val="12"/>
      <color theme="1"/>
      <name val="Calibri"/>
      <family val="2"/>
      <scheme val="minor"/>
    </font>
    <font>
      <b/>
      <sz val="12"/>
      <color theme="1"/>
      <name val="Calibri"/>
      <family val="2"/>
      <scheme val="minor"/>
    </font>
    <font>
      <sz val="18"/>
      <color theme="1"/>
      <name val="Calibri"/>
      <family val="2"/>
      <scheme val="minor"/>
    </font>
    <font>
      <sz val="8"/>
      <name val="Calibri"/>
      <family val="2"/>
      <scheme val="minor"/>
    </font>
    <font>
      <b/>
      <sz val="18"/>
      <color theme="1"/>
      <name val="Calibri"/>
      <family val="2"/>
      <scheme val="minor"/>
    </font>
    <font>
      <u/>
      <sz val="12"/>
      <color theme="10"/>
      <name val="Calibri"/>
      <family val="2"/>
      <scheme val="minor"/>
    </font>
    <font>
      <sz val="14"/>
      <color theme="1"/>
      <name val="Calibri"/>
      <family val="2"/>
      <scheme val="minor"/>
    </font>
    <font>
      <b/>
      <sz val="11"/>
      <color theme="1"/>
      <name val="Calibri"/>
      <family val="2"/>
      <scheme val="minor"/>
    </font>
    <font>
      <sz val="12"/>
      <color rgb="FFC00000"/>
      <name val="Calibri"/>
      <family val="2"/>
      <scheme val="minor"/>
    </font>
    <font>
      <b/>
      <sz val="14"/>
      <color theme="1"/>
      <name val="Calibri"/>
      <family val="2"/>
      <scheme val="minor"/>
    </font>
    <font>
      <sz val="11"/>
      <color theme="1"/>
      <name val="Calibri"/>
      <family val="2"/>
      <scheme val="minor"/>
    </font>
    <font>
      <sz val="12"/>
      <color rgb="FF000000"/>
      <name val="Trebuchet MS"/>
      <family val="2"/>
    </font>
    <font>
      <b/>
      <sz val="12"/>
      <color rgb="FF000000"/>
      <name val="Trebuchet MS"/>
      <family val="2"/>
    </font>
    <font>
      <b/>
      <sz val="16"/>
      <color theme="1"/>
      <name val="Calibri"/>
      <family val="2"/>
      <scheme val="minor"/>
    </font>
    <font>
      <i/>
      <sz val="12"/>
      <color theme="1"/>
      <name val="Calibri"/>
      <family val="2"/>
      <scheme val="minor"/>
    </font>
    <font>
      <b/>
      <sz val="14"/>
      <color rgb="FF000000"/>
      <name val="Calibri"/>
      <family val="2"/>
      <scheme val="minor"/>
    </font>
    <font>
      <i/>
      <sz val="10"/>
      <color theme="1"/>
      <name val="Calibri"/>
      <family val="2"/>
      <scheme val="minor"/>
    </font>
    <font>
      <sz val="10"/>
      <color rgb="FF000000"/>
      <name val="Tahoma"/>
      <family val="2"/>
    </font>
    <font>
      <b/>
      <sz val="10"/>
      <color rgb="FF000000"/>
      <name val="Tahoma"/>
      <family val="2"/>
    </font>
    <font>
      <sz val="12"/>
      <color theme="2"/>
      <name val="Calibri"/>
      <family val="2"/>
      <scheme val="minor"/>
    </font>
    <font>
      <sz val="12"/>
      <color theme="2"/>
      <name val="Trebuchet MS"/>
      <family val="2"/>
    </font>
    <font>
      <b/>
      <sz val="12"/>
      <color rgb="FF000000"/>
      <name val="Calibri"/>
      <family val="2"/>
      <scheme val="minor"/>
    </font>
    <font>
      <b/>
      <sz val="12"/>
      <color rgb="FF000000"/>
      <name val="Arial"/>
      <family val="2"/>
    </font>
    <font>
      <i/>
      <sz val="12"/>
      <color rgb="FF000000"/>
      <name val="Arial"/>
      <family val="2"/>
    </font>
    <font>
      <sz val="12"/>
      <color theme="1"/>
      <name val="Calibri"/>
      <family val="2"/>
    </font>
    <font>
      <i/>
      <sz val="12"/>
      <color theme="1"/>
      <name val="Calibri"/>
      <family val="2"/>
    </font>
    <font>
      <b/>
      <sz val="14"/>
      <color theme="1"/>
      <name val="Calibri"/>
      <family val="2"/>
    </font>
    <font>
      <b/>
      <sz val="10"/>
      <color rgb="FF000000"/>
      <name val="Calibri"/>
      <family val="2"/>
    </font>
    <font>
      <sz val="10"/>
      <color rgb="FF000000"/>
      <name val="Calibri"/>
      <family val="2"/>
    </font>
    <font>
      <sz val="10"/>
      <color theme="1"/>
      <name val="Calibri"/>
      <family val="2"/>
    </font>
    <font>
      <u/>
      <sz val="10"/>
      <color theme="10"/>
      <name val="Calibri"/>
      <family val="2"/>
    </font>
    <font>
      <b/>
      <sz val="10"/>
      <color theme="1"/>
      <name val="Calibri"/>
      <family val="2"/>
    </font>
    <font>
      <b/>
      <sz val="16"/>
      <color rgb="FF000000"/>
      <name val="Arial"/>
      <family val="2"/>
    </font>
    <font>
      <b/>
      <sz val="12"/>
      <color theme="1"/>
      <name val="Calibri"/>
      <family val="2"/>
    </font>
    <font>
      <b/>
      <sz val="10"/>
      <color indexed="8"/>
      <name val="Calibri"/>
      <family val="2"/>
    </font>
    <font>
      <sz val="11"/>
      <color indexed="8"/>
      <name val="Calibri"/>
      <family val="2"/>
      <scheme val="minor"/>
    </font>
    <font>
      <b/>
      <sz val="11"/>
      <color indexed="8"/>
      <name val="Calibri"/>
      <family val="2"/>
      <scheme val="minor"/>
    </font>
    <font>
      <sz val="10"/>
      <color indexed="8"/>
      <name val="Calibri"/>
      <family val="2"/>
    </font>
    <font>
      <b/>
      <sz val="10"/>
      <color indexed="8"/>
      <name val="Calibri (Body)"/>
    </font>
    <font>
      <b/>
      <sz val="10"/>
      <color theme="1"/>
      <name val="Calibri (Body)"/>
    </font>
    <font>
      <sz val="10"/>
      <color indexed="8"/>
      <name val="Calibri (Body)"/>
    </font>
    <font>
      <b/>
      <sz val="10"/>
      <color indexed="8"/>
      <name val="Calibri"/>
      <family val="2"/>
      <scheme val="minor"/>
    </font>
    <font>
      <b/>
      <sz val="10"/>
      <color theme="1"/>
      <name val="Calibri"/>
      <family val="2"/>
      <scheme val="minor"/>
    </font>
    <font>
      <sz val="10"/>
      <color indexed="8"/>
      <name val="Calibri"/>
      <family val="2"/>
      <scheme val="minor"/>
    </font>
    <font>
      <b/>
      <sz val="20"/>
      <color theme="1"/>
      <name val="Calibri"/>
      <family val="2"/>
      <scheme val="minor"/>
    </font>
    <font>
      <sz val="12"/>
      <color theme="0" tint="-0.14999847407452621"/>
      <name val="Calibri"/>
      <family val="2"/>
      <scheme val="minor"/>
    </font>
    <font>
      <b/>
      <sz val="12"/>
      <color theme="0"/>
      <name val="Calibri"/>
      <family val="2"/>
      <scheme val="minor"/>
    </font>
    <font>
      <sz val="10"/>
      <color theme="1"/>
      <name val="Calibri"/>
      <family val="2"/>
      <scheme val="minor"/>
    </font>
    <font>
      <b/>
      <sz val="10"/>
      <color theme="0"/>
      <name val="Calibri"/>
      <family val="2"/>
      <scheme val="minor"/>
    </font>
    <font>
      <sz val="10"/>
      <color rgb="FF000000"/>
      <name val="Calibri"/>
      <family val="2"/>
      <scheme val="minor"/>
    </font>
    <font>
      <u/>
      <sz val="12"/>
      <color theme="1"/>
      <name val="Calibri"/>
      <family val="2"/>
    </font>
  </fonts>
  <fills count="10">
    <fill>
      <patternFill patternType="none"/>
    </fill>
    <fill>
      <patternFill patternType="gray125"/>
    </fill>
    <fill>
      <patternFill patternType="solid">
        <fgColor rgb="FFFEF2CB"/>
        <bgColor rgb="FFFEF2CB"/>
      </patternFill>
    </fill>
    <fill>
      <patternFill patternType="solid">
        <fgColor theme="8"/>
        <bgColor theme="8"/>
      </patternFill>
    </fill>
    <fill>
      <patternFill patternType="solid">
        <fgColor rgb="FF92D050"/>
        <bgColor indexed="64"/>
      </patternFill>
    </fill>
    <fill>
      <patternFill patternType="solid">
        <fgColor theme="4"/>
        <bgColor indexed="64"/>
      </patternFill>
    </fill>
    <fill>
      <patternFill patternType="solid">
        <fgColor theme="9" tint="0.59999389629810485"/>
        <bgColor indexed="64"/>
      </patternFill>
    </fill>
    <fill>
      <patternFill patternType="solid">
        <fgColor rgb="FFFFB1B5"/>
        <bgColor indexed="64"/>
      </patternFill>
    </fill>
    <fill>
      <patternFill patternType="solid">
        <fgColor rgb="FFFFC000"/>
        <bgColor indexed="64"/>
      </patternFill>
    </fill>
    <fill>
      <patternFill patternType="solid">
        <fgColor rgb="FFFFFF00"/>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indexed="64"/>
      </left>
      <right/>
      <top/>
      <bottom/>
      <diagonal/>
    </border>
    <border>
      <left style="thin">
        <color rgb="FF000000"/>
      </left>
      <right style="thin">
        <color rgb="FF000000"/>
      </right>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style="thin">
        <color rgb="FF000000"/>
      </bottom>
      <diagonal/>
    </border>
    <border>
      <left style="thin">
        <color indexed="64"/>
      </left>
      <right/>
      <top/>
      <bottom style="thin">
        <color indexed="64"/>
      </bottom>
      <diagonal/>
    </border>
  </borders>
  <cellStyleXfs count="6">
    <xf numFmtId="0" fontId="0" fillId="0" borderId="0"/>
    <xf numFmtId="43" fontId="2" fillId="0" borderId="0" applyFont="0" applyFill="0" applyBorder="0" applyAlignment="0" applyProtection="0"/>
    <xf numFmtId="0" fontId="7" fillId="0" borderId="0" applyNumberFormat="0" applyFill="0" applyBorder="0" applyAlignment="0" applyProtection="0"/>
    <xf numFmtId="9" fontId="2" fillId="0" borderId="0" applyFont="0" applyFill="0" applyBorder="0" applyAlignment="0" applyProtection="0"/>
    <xf numFmtId="0" fontId="12" fillId="0" borderId="0"/>
    <xf numFmtId="0" fontId="37" fillId="0" borderId="0"/>
  </cellStyleXfs>
  <cellXfs count="203">
    <xf numFmtId="0" fontId="0" fillId="0" borderId="0" xfId="0"/>
    <xf numFmtId="0" fontId="1" fillId="0" borderId="0" xfId="0" applyFont="1"/>
    <xf numFmtId="0" fontId="3" fillId="0" borderId="0" xfId="0" applyFont="1"/>
    <xf numFmtId="0" fontId="4" fillId="0" borderId="0" xfId="0" applyFont="1"/>
    <xf numFmtId="0" fontId="6" fillId="0" borderId="0" xfId="0" applyFont="1"/>
    <xf numFmtId="0" fontId="9" fillId="0" borderId="1" xfId="0" applyFont="1" applyBorder="1"/>
    <xf numFmtId="0" fontId="9" fillId="0" borderId="2" xfId="0" applyFont="1" applyBorder="1" applyAlignment="1">
      <alignment horizontal="center" vertical="center" wrapText="1"/>
    </xf>
    <xf numFmtId="0" fontId="9" fillId="0" borderId="1" xfId="0" applyFont="1" applyBorder="1" applyAlignment="1">
      <alignment horizontal="center" vertical="center" wrapText="1"/>
    </xf>
    <xf numFmtId="0" fontId="9" fillId="0" borderId="2" xfId="0" applyFont="1" applyBorder="1"/>
    <xf numFmtId="0" fontId="9" fillId="0" borderId="3" xfId="0" applyFont="1" applyBorder="1"/>
    <xf numFmtId="0" fontId="9" fillId="0" borderId="4" xfId="0" applyFont="1" applyBorder="1"/>
    <xf numFmtId="2" fontId="0" fillId="0" borderId="0" xfId="0" applyNumberFormat="1"/>
    <xf numFmtId="0" fontId="11" fillId="0" borderId="0" xfId="0" applyFont="1"/>
    <xf numFmtId="0" fontId="9" fillId="0" borderId="0" xfId="0" applyFont="1"/>
    <xf numFmtId="0" fontId="12" fillId="0" borderId="0" xfId="0" applyFont="1"/>
    <xf numFmtId="3" fontId="13" fillId="0" borderId="0" xfId="0" applyNumberFormat="1" applyFont="1" applyAlignment="1">
      <alignment vertical="top" shrinkToFit="1"/>
    </xf>
    <xf numFmtId="3" fontId="14" fillId="0" borderId="0" xfId="0" applyNumberFormat="1" applyFont="1" applyAlignment="1">
      <alignment vertical="top" shrinkToFit="1"/>
    </xf>
    <xf numFmtId="3" fontId="0" fillId="0" borderId="0" xfId="0" applyNumberFormat="1"/>
    <xf numFmtId="43" fontId="0" fillId="0" borderId="0" xfId="0" applyNumberFormat="1"/>
    <xf numFmtId="0" fontId="15" fillId="0" borderId="0" xfId="0" applyFont="1"/>
    <xf numFmtId="0" fontId="16" fillId="0" borderId="0" xfId="0" applyFont="1"/>
    <xf numFmtId="0" fontId="17" fillId="0" borderId="0" xfId="0" applyFont="1"/>
    <xf numFmtId="3" fontId="0" fillId="0" borderId="0" xfId="1" applyNumberFormat="1" applyFont="1"/>
    <xf numFmtId="165" fontId="0" fillId="0" borderId="0" xfId="3" applyNumberFormat="1" applyFont="1"/>
    <xf numFmtId="9" fontId="0" fillId="0" borderId="0" xfId="3" applyFont="1"/>
    <xf numFmtId="0" fontId="18" fillId="0" borderId="0" xfId="0" applyFont="1"/>
    <xf numFmtId="3" fontId="3" fillId="0" borderId="0" xfId="1" applyNumberFormat="1" applyFont="1"/>
    <xf numFmtId="3" fontId="2" fillId="0" borderId="0" xfId="1" applyNumberFormat="1" applyFont="1"/>
    <xf numFmtId="0" fontId="0" fillId="0" borderId="0" xfId="0" applyAlignment="1">
      <alignment wrapText="1"/>
    </xf>
    <xf numFmtId="0" fontId="3" fillId="0" borderId="0" xfId="0" applyFont="1" applyAlignment="1">
      <alignment wrapText="1"/>
    </xf>
    <xf numFmtId="4" fontId="0" fillId="0" borderId="0" xfId="1" applyNumberFormat="1" applyFont="1"/>
    <xf numFmtId="4" fontId="0" fillId="0" borderId="0" xfId="0" applyNumberFormat="1"/>
    <xf numFmtId="0" fontId="22" fillId="0" borderId="0" xfId="0" applyFont="1" applyAlignment="1">
      <alignment vertical="top" wrapText="1"/>
    </xf>
    <xf numFmtId="0" fontId="21" fillId="0" borderId="0" xfId="0" applyFont="1"/>
    <xf numFmtId="0" fontId="7" fillId="0" borderId="0" xfId="2" applyBorder="1"/>
    <xf numFmtId="165" fontId="0" fillId="0" borderId="0" xfId="3" applyNumberFormat="1" applyFont="1" applyFill="1"/>
    <xf numFmtId="0" fontId="0" fillId="0" borderId="0" xfId="0" applyAlignment="1">
      <alignment horizontal="left" indent="1"/>
    </xf>
    <xf numFmtId="165" fontId="0" fillId="0" borderId="0" xfId="3" applyNumberFormat="1" applyFont="1" applyBorder="1"/>
    <xf numFmtId="0" fontId="1" fillId="0" borderId="1" xfId="0" applyFont="1" applyBorder="1"/>
    <xf numFmtId="0" fontId="3" fillId="0" borderId="1" xfId="0" applyFont="1" applyBorder="1"/>
    <xf numFmtId="0" fontId="0" fillId="0" borderId="1" xfId="0" applyBorder="1"/>
    <xf numFmtId="2" fontId="0" fillId="0" borderId="1" xfId="0" applyNumberFormat="1" applyBorder="1"/>
    <xf numFmtId="164" fontId="0" fillId="0" borderId="1" xfId="0" applyNumberFormat="1" applyBorder="1"/>
    <xf numFmtId="0" fontId="7" fillId="0" borderId="0" xfId="2"/>
    <xf numFmtId="0" fontId="12" fillId="0" borderId="0" xfId="4"/>
    <xf numFmtId="0" fontId="12" fillId="0" borderId="0" xfId="4" applyAlignment="1">
      <alignment horizontal="right"/>
    </xf>
    <xf numFmtId="3" fontId="12" fillId="0" borderId="0" xfId="4" applyNumberFormat="1"/>
    <xf numFmtId="166" fontId="0" fillId="0" borderId="1" xfId="0" applyNumberFormat="1" applyBorder="1"/>
    <xf numFmtId="0" fontId="3" fillId="0" borderId="1" xfId="0" applyFont="1" applyBorder="1" applyAlignment="1">
      <alignment wrapText="1"/>
    </xf>
    <xf numFmtId="0" fontId="3" fillId="0" borderId="5" xfId="0" applyFont="1" applyBorder="1" applyAlignment="1">
      <alignment wrapText="1"/>
    </xf>
    <xf numFmtId="9" fontId="0" fillId="0" borderId="1" xfId="3" applyFont="1" applyBorder="1"/>
    <xf numFmtId="9" fontId="0" fillId="0" borderId="1" xfId="3" applyFont="1" applyFill="1" applyBorder="1"/>
    <xf numFmtId="0" fontId="3" fillId="0" borderId="2" xfId="0" applyFont="1" applyBorder="1" applyAlignment="1">
      <alignment wrapText="1"/>
    </xf>
    <xf numFmtId="9" fontId="0" fillId="0" borderId="2" xfId="3" applyFont="1" applyBorder="1"/>
    <xf numFmtId="0" fontId="3" fillId="0" borderId="4" xfId="0" applyFont="1" applyBorder="1" applyAlignment="1">
      <alignment wrapText="1"/>
    </xf>
    <xf numFmtId="0" fontId="0" fillId="0" borderId="4" xfId="0" applyBorder="1"/>
    <xf numFmtId="9" fontId="0" fillId="0" borderId="5" xfId="3" applyFont="1" applyBorder="1"/>
    <xf numFmtId="9" fontId="0" fillId="0" borderId="1" xfId="0" applyNumberFormat="1" applyBorder="1"/>
    <xf numFmtId="2" fontId="0" fillId="0" borderId="1" xfId="3" applyNumberFormat="1" applyFont="1" applyBorder="1"/>
    <xf numFmtId="164" fontId="0" fillId="0" borderId="1" xfId="3" applyNumberFormat="1" applyFont="1" applyBorder="1"/>
    <xf numFmtId="0" fontId="3" fillId="0" borderId="6" xfId="0" applyFont="1" applyBorder="1" applyAlignment="1">
      <alignment wrapText="1"/>
    </xf>
    <xf numFmtId="0" fontId="25" fillId="0" borderId="0" xfId="0" applyFont="1"/>
    <xf numFmtId="0" fontId="24" fillId="0" borderId="7" xfId="0" applyFont="1" applyBorder="1"/>
    <xf numFmtId="0" fontId="24" fillId="0" borderId="7" xfId="0" applyFont="1" applyBorder="1" applyAlignment="1">
      <alignment wrapText="1"/>
    </xf>
    <xf numFmtId="0" fontId="0" fillId="0" borderId="7" xfId="0" applyBorder="1" applyAlignment="1">
      <alignment wrapText="1"/>
    </xf>
    <xf numFmtId="9" fontId="26" fillId="0" borderId="7" xfId="0" applyNumberFormat="1" applyFont="1" applyBorder="1"/>
    <xf numFmtId="9" fontId="26" fillId="2" borderId="7" xfId="0" applyNumberFormat="1" applyFont="1" applyFill="1" applyBorder="1"/>
    <xf numFmtId="9" fontId="26" fillId="3" borderId="7" xfId="0" applyNumberFormat="1" applyFont="1" applyFill="1" applyBorder="1"/>
    <xf numFmtId="0" fontId="27" fillId="0" borderId="0" xfId="0" quotePrefix="1" applyFont="1"/>
    <xf numFmtId="9" fontId="26" fillId="0" borderId="0" xfId="0" applyNumberFormat="1" applyFont="1"/>
    <xf numFmtId="0" fontId="0" fillId="4" borderId="0" xfId="0" applyFill="1"/>
    <xf numFmtId="9" fontId="0" fillId="0" borderId="0" xfId="3" applyFont="1" applyBorder="1"/>
    <xf numFmtId="9" fontId="26" fillId="0" borderId="8" xfId="0" applyNumberFormat="1" applyFont="1" applyBorder="1"/>
    <xf numFmtId="0" fontId="24" fillId="0" borderId="1" xfId="0" applyFont="1" applyBorder="1" applyAlignment="1">
      <alignment wrapText="1"/>
    </xf>
    <xf numFmtId="9" fontId="1" fillId="0" borderId="1" xfId="3" applyFont="1" applyBorder="1"/>
    <xf numFmtId="0" fontId="28" fillId="0" borderId="0" xfId="0" applyFont="1"/>
    <xf numFmtId="0" fontId="26" fillId="0" borderId="0" xfId="0" applyFont="1"/>
    <xf numFmtId="0" fontId="29" fillId="0" borderId="1" xfId="0" applyFont="1" applyBorder="1" applyAlignment="1">
      <alignment horizontal="center" wrapText="1"/>
    </xf>
    <xf numFmtId="0" fontId="29" fillId="0" borderId="1" xfId="0" applyFont="1" applyBorder="1" applyAlignment="1">
      <alignment wrapText="1"/>
    </xf>
    <xf numFmtId="0" fontId="30" fillId="0" borderId="1" xfId="0" applyFont="1" applyBorder="1" applyAlignment="1">
      <alignment wrapText="1"/>
    </xf>
    <xf numFmtId="0" fontId="31" fillId="0" borderId="1" xfId="0" applyFont="1" applyBorder="1" applyAlignment="1">
      <alignment wrapText="1"/>
    </xf>
    <xf numFmtId="0" fontId="32" fillId="0" borderId="1" xfId="2" applyFont="1" applyBorder="1" applyAlignment="1">
      <alignment wrapText="1"/>
    </xf>
    <xf numFmtId="0" fontId="31" fillId="0" borderId="1" xfId="0" quotePrefix="1" applyFont="1" applyBorder="1" applyAlignment="1">
      <alignment wrapText="1"/>
    </xf>
    <xf numFmtId="0" fontId="31" fillId="0" borderId="5" xfId="0" applyFont="1" applyBorder="1" applyAlignment="1">
      <alignment wrapText="1"/>
    </xf>
    <xf numFmtId="0" fontId="33" fillId="0" borderId="1" xfId="0" applyFont="1" applyBorder="1" applyAlignment="1">
      <alignment wrapText="1"/>
    </xf>
    <xf numFmtId="0" fontId="18" fillId="0" borderId="1" xfId="0" applyFont="1" applyBorder="1"/>
    <xf numFmtId="0" fontId="34" fillId="0" borderId="0" xfId="0" applyFont="1"/>
    <xf numFmtId="9" fontId="35" fillId="0" borderId="7" xfId="0" applyNumberFormat="1" applyFont="1" applyBorder="1"/>
    <xf numFmtId="0" fontId="3" fillId="0" borderId="9" xfId="0" applyFont="1" applyBorder="1"/>
    <xf numFmtId="0" fontId="24" fillId="0" borderId="10" xfId="0" applyFont="1" applyBorder="1" applyAlignment="1">
      <alignment wrapText="1"/>
    </xf>
    <xf numFmtId="168" fontId="0" fillId="0" borderId="0" xfId="0" applyNumberFormat="1"/>
    <xf numFmtId="167" fontId="0" fillId="0" borderId="1" xfId="0" applyNumberFormat="1" applyBorder="1"/>
    <xf numFmtId="167" fontId="0" fillId="0" borderId="0" xfId="0" applyNumberFormat="1"/>
    <xf numFmtId="0" fontId="0" fillId="0" borderId="5" xfId="0" applyBorder="1"/>
    <xf numFmtId="0" fontId="3" fillId="0" borderId="0" xfId="0" applyFont="1" applyAlignment="1">
      <alignment horizontal="right"/>
    </xf>
    <xf numFmtId="165" fontId="0" fillId="0" borderId="1" xfId="3" applyNumberFormat="1" applyFont="1" applyFill="1" applyBorder="1"/>
    <xf numFmtId="2" fontId="0" fillId="0" borderId="5" xfId="0" applyNumberFormat="1" applyBorder="1"/>
    <xf numFmtId="9" fontId="0" fillId="0" borderId="1" xfId="3" applyFont="1" applyBorder="1" applyAlignment="1">
      <alignment wrapText="1"/>
    </xf>
    <xf numFmtId="165" fontId="12" fillId="0" borderId="1" xfId="3" applyNumberFormat="1" applyFont="1" applyBorder="1"/>
    <xf numFmtId="0" fontId="9" fillId="0" borderId="1" xfId="0" applyFont="1" applyBorder="1" applyAlignment="1">
      <alignment wrapText="1"/>
    </xf>
    <xf numFmtId="0" fontId="9" fillId="0" borderId="11" xfId="0" applyFont="1" applyBorder="1" applyAlignment="1">
      <alignment wrapText="1"/>
    </xf>
    <xf numFmtId="0" fontId="12" fillId="0" borderId="1" xfId="0" applyFont="1" applyBorder="1"/>
    <xf numFmtId="164" fontId="12" fillId="0" borderId="1" xfId="0" applyNumberFormat="1" applyFont="1" applyBorder="1"/>
    <xf numFmtId="2" fontId="12" fillId="0" borderId="1" xfId="0" applyNumberFormat="1" applyFont="1" applyBorder="1"/>
    <xf numFmtId="0" fontId="9" fillId="0" borderId="12" xfId="0" applyFont="1" applyBorder="1" applyAlignment="1">
      <alignment horizontal="center" vertical="center" wrapText="1"/>
    </xf>
    <xf numFmtId="0" fontId="9" fillId="0" borderId="11" xfId="0" applyFont="1" applyBorder="1" applyAlignment="1">
      <alignment horizontal="center" wrapText="1"/>
    </xf>
    <xf numFmtId="10" fontId="12" fillId="0" borderId="1" xfId="3" applyNumberFormat="1" applyFont="1" applyBorder="1"/>
    <xf numFmtId="10" fontId="12" fillId="0" borderId="0" xfId="3" applyNumberFormat="1" applyFont="1" applyBorder="1"/>
    <xf numFmtId="49" fontId="36" fillId="0" borderId="0" xfId="0" applyNumberFormat="1" applyFont="1" applyAlignment="1">
      <alignment horizontal="center"/>
    </xf>
    <xf numFmtId="49" fontId="0" fillId="0" borderId="0" xfId="0" applyNumberFormat="1"/>
    <xf numFmtId="2" fontId="3" fillId="0" borderId="0" xfId="0" applyNumberFormat="1" applyFont="1"/>
    <xf numFmtId="9" fontId="2" fillId="0" borderId="0" xfId="3" applyFont="1"/>
    <xf numFmtId="4" fontId="12" fillId="0" borderId="1" xfId="0" applyNumberFormat="1" applyFont="1" applyBorder="1"/>
    <xf numFmtId="2" fontId="0" fillId="0" borderId="6" xfId="3" applyNumberFormat="1" applyFont="1" applyBorder="1"/>
    <xf numFmtId="9" fontId="26" fillId="0" borderId="15" xfId="0" applyNumberFormat="1" applyFont="1" applyBorder="1"/>
    <xf numFmtId="9" fontId="26" fillId="2" borderId="15" xfId="0" applyNumberFormat="1" applyFont="1" applyFill="1" applyBorder="1"/>
    <xf numFmtId="9" fontId="26" fillId="0" borderId="16" xfId="0" applyNumberFormat="1" applyFont="1" applyBorder="1"/>
    <xf numFmtId="9" fontId="26" fillId="0" borderId="1" xfId="0" applyNumberFormat="1" applyFont="1" applyBorder="1"/>
    <xf numFmtId="9" fontId="26" fillId="2" borderId="1" xfId="0" applyNumberFormat="1" applyFont="1" applyFill="1" applyBorder="1"/>
    <xf numFmtId="9" fontId="26" fillId="2" borderId="17" xfId="0" applyNumberFormat="1" applyFont="1" applyFill="1" applyBorder="1"/>
    <xf numFmtId="49" fontId="36" fillId="0" borderId="0" xfId="5" applyNumberFormat="1" applyFont="1" applyAlignment="1">
      <alignment horizontal="center"/>
    </xf>
    <xf numFmtId="0" fontId="37" fillId="0" borderId="0" xfId="5"/>
    <xf numFmtId="0" fontId="38" fillId="0" borderId="0" xfId="5" applyFont="1"/>
    <xf numFmtId="49" fontId="36" fillId="0" borderId="0" xfId="5" applyNumberFormat="1" applyFont="1" applyAlignment="1">
      <alignment horizontal="right"/>
    </xf>
    <xf numFmtId="49" fontId="36" fillId="0" borderId="0" xfId="5" applyNumberFormat="1" applyFont="1" applyAlignment="1">
      <alignment horizontal="left"/>
    </xf>
    <xf numFmtId="49" fontId="39" fillId="0" borderId="0" xfId="5" applyNumberFormat="1" applyFont="1" applyAlignment="1">
      <alignment horizontal="left"/>
    </xf>
    <xf numFmtId="0" fontId="40" fillId="0" borderId="0" xfId="5" applyFont="1" applyAlignment="1">
      <alignment horizontal="left"/>
    </xf>
    <xf numFmtId="0" fontId="41" fillId="0" borderId="0" xfId="0" applyFont="1" applyAlignment="1">
      <alignment wrapText="1"/>
    </xf>
    <xf numFmtId="0" fontId="42" fillId="0" borderId="0" xfId="5" applyFont="1" applyAlignment="1">
      <alignment horizontal="left"/>
    </xf>
    <xf numFmtId="0" fontId="43" fillId="0" borderId="0" xfId="5" applyFont="1"/>
    <xf numFmtId="0" fontId="43" fillId="0" borderId="0" xfId="5" applyFont="1" applyAlignment="1">
      <alignment wrapText="1"/>
    </xf>
    <xf numFmtId="0" fontId="44" fillId="0" borderId="0" xfId="0" applyFont="1"/>
    <xf numFmtId="0" fontId="45" fillId="0" borderId="0" xfId="5" applyFont="1"/>
    <xf numFmtId="3" fontId="45" fillId="0" borderId="0" xfId="5" applyNumberFormat="1" applyFont="1"/>
    <xf numFmtId="2" fontId="45" fillId="0" borderId="0" xfId="5" applyNumberFormat="1" applyFont="1"/>
    <xf numFmtId="169" fontId="45" fillId="0" borderId="0" xfId="5" applyNumberFormat="1" applyFont="1"/>
    <xf numFmtId="49" fontId="45" fillId="0" borderId="0" xfId="5" applyNumberFormat="1" applyFont="1"/>
    <xf numFmtId="1" fontId="45" fillId="0" borderId="0" xfId="5" applyNumberFormat="1" applyFont="1"/>
    <xf numFmtId="0" fontId="43" fillId="0" borderId="0" xfId="5" applyFont="1" applyAlignment="1">
      <alignment horizontal="center"/>
    </xf>
    <xf numFmtId="0" fontId="46" fillId="0" borderId="0" xfId="0" applyFont="1"/>
    <xf numFmtId="0" fontId="47" fillId="0" borderId="0" xfId="0" applyFont="1"/>
    <xf numFmtId="3" fontId="47" fillId="0" borderId="0" xfId="1" applyNumberFormat="1" applyFont="1"/>
    <xf numFmtId="2" fontId="47" fillId="0" borderId="0" xfId="0" applyNumberFormat="1" applyFont="1"/>
    <xf numFmtId="165" fontId="47" fillId="0" borderId="0" xfId="3" applyNumberFormat="1" applyFont="1" applyBorder="1"/>
    <xf numFmtId="2" fontId="0" fillId="0" borderId="0" xfId="3" applyNumberFormat="1" applyFont="1"/>
    <xf numFmtId="2" fontId="12" fillId="0" borderId="0" xfId="0" applyNumberFormat="1" applyFont="1"/>
    <xf numFmtId="0" fontId="48" fillId="5" borderId="2" xfId="0" applyFont="1" applyFill="1" applyBorder="1" applyAlignment="1">
      <alignment wrapText="1"/>
    </xf>
    <xf numFmtId="0" fontId="48" fillId="5" borderId="1" xfId="0" applyFont="1" applyFill="1" applyBorder="1" applyAlignment="1">
      <alignment horizontal="center" wrapText="1"/>
    </xf>
    <xf numFmtId="0" fontId="49" fillId="0" borderId="0" xfId="0" applyFont="1" applyAlignment="1">
      <alignment wrapText="1"/>
    </xf>
    <xf numFmtId="0" fontId="50" fillId="5" borderId="1" xfId="0" applyFont="1" applyFill="1" applyBorder="1" applyAlignment="1">
      <alignment horizontal="center" wrapText="1"/>
    </xf>
    <xf numFmtId="0" fontId="50" fillId="5" borderId="2" xfId="0" applyFont="1" applyFill="1" applyBorder="1" applyAlignment="1">
      <alignment wrapText="1"/>
    </xf>
    <xf numFmtId="0" fontId="51" fillId="0" borderId="18" xfId="0" applyFont="1" applyBorder="1" applyAlignment="1">
      <alignment wrapText="1"/>
    </xf>
    <xf numFmtId="0" fontId="49" fillId="6" borderId="1" xfId="0" quotePrefix="1" applyFont="1" applyFill="1" applyBorder="1" applyAlignment="1">
      <alignment horizontal="center" wrapText="1"/>
    </xf>
    <xf numFmtId="0" fontId="49" fillId="7" borderId="1" xfId="0" applyFont="1" applyFill="1" applyBorder="1" applyAlignment="1">
      <alignment horizontal="center" wrapText="1"/>
    </xf>
    <xf numFmtId="0" fontId="49" fillId="7" borderId="1" xfId="0" quotePrefix="1" applyFont="1" applyFill="1" applyBorder="1" applyAlignment="1">
      <alignment horizontal="center" wrapText="1"/>
    </xf>
    <xf numFmtId="0" fontId="0" fillId="0" borderId="8" xfId="0" applyBorder="1" applyAlignment="1">
      <alignment wrapText="1"/>
    </xf>
    <xf numFmtId="9" fontId="0" fillId="0" borderId="0" xfId="0" applyNumberFormat="1"/>
    <xf numFmtId="0" fontId="49" fillId="0" borderId="0" xfId="0" applyFont="1"/>
    <xf numFmtId="0" fontId="50" fillId="5" borderId="2" xfId="0" applyFont="1" applyFill="1" applyBorder="1" applyAlignment="1">
      <alignment horizontal="center" wrapText="1"/>
    </xf>
    <xf numFmtId="0" fontId="49" fillId="0" borderId="1" xfId="0" applyFont="1" applyBorder="1" applyAlignment="1">
      <alignment wrapText="1"/>
    </xf>
    <xf numFmtId="2" fontId="49" fillId="0" borderId="1" xfId="0" applyNumberFormat="1" applyFont="1" applyBorder="1"/>
    <xf numFmtId="0" fontId="44" fillId="0" borderId="1" xfId="0" applyFont="1" applyBorder="1" applyAlignment="1">
      <alignment wrapText="1"/>
    </xf>
    <xf numFmtId="0" fontId="49" fillId="0" borderId="0" xfId="0" applyFont="1" applyAlignment="1">
      <alignment horizontal="center"/>
    </xf>
    <xf numFmtId="0" fontId="50" fillId="5" borderId="11" xfId="0" applyFont="1" applyFill="1" applyBorder="1" applyAlignment="1">
      <alignment horizontal="center" wrapText="1"/>
    </xf>
    <xf numFmtId="2" fontId="49" fillId="0" borderId="1" xfId="0" applyNumberFormat="1" applyFont="1" applyBorder="1" applyAlignment="1">
      <alignment wrapText="1"/>
    </xf>
    <xf numFmtId="9" fontId="0" fillId="0" borderId="0" xfId="3" applyFont="1" applyBorder="1" applyAlignment="1">
      <alignment wrapText="1"/>
    </xf>
    <xf numFmtId="9" fontId="52" fillId="0" borderId="7" xfId="0" applyNumberFormat="1" applyFont="1" applyBorder="1"/>
    <xf numFmtId="9" fontId="12" fillId="0" borderId="1" xfId="3" applyFont="1" applyBorder="1"/>
    <xf numFmtId="2" fontId="26" fillId="0" borderId="7" xfId="0" applyNumberFormat="1" applyFont="1" applyBorder="1"/>
    <xf numFmtId="10" fontId="0" fillId="0" borderId="1" xfId="3" applyNumberFormat="1" applyFont="1" applyBorder="1"/>
    <xf numFmtId="165" fontId="49" fillId="0" borderId="1" xfId="3" applyNumberFormat="1" applyFont="1" applyBorder="1"/>
    <xf numFmtId="0" fontId="8" fillId="0" borderId="0" xfId="0" applyFont="1"/>
    <xf numFmtId="1" fontId="0" fillId="0" borderId="0" xfId="0" applyNumberFormat="1"/>
    <xf numFmtId="0" fontId="10" fillId="0" borderId="0" xfId="0" applyFont="1"/>
    <xf numFmtId="1" fontId="3" fillId="0" borderId="0" xfId="0" applyNumberFormat="1" applyFont="1" applyAlignment="1">
      <alignment wrapText="1"/>
    </xf>
    <xf numFmtId="0" fontId="23" fillId="0" borderId="0" xfId="0" applyFont="1"/>
    <xf numFmtId="0" fontId="24" fillId="0" borderId="0" xfId="0" applyFont="1" applyAlignment="1">
      <alignment wrapText="1"/>
    </xf>
    <xf numFmtId="0" fontId="0" fillId="8" borderId="0" xfId="0" applyFill="1"/>
    <xf numFmtId="2" fontId="0" fillId="8" borderId="0" xfId="0" applyNumberFormat="1" applyFill="1"/>
    <xf numFmtId="2" fontId="0" fillId="7" borderId="0" xfId="0" applyNumberFormat="1" applyFill="1"/>
    <xf numFmtId="0" fontId="0" fillId="7" borderId="0" xfId="0" applyFill="1"/>
    <xf numFmtId="0" fontId="0" fillId="8" borderId="0" xfId="0" applyFill="1" applyAlignment="1">
      <alignment wrapText="1"/>
    </xf>
    <xf numFmtId="0" fontId="43" fillId="0" borderId="0" xfId="5" applyFont="1" applyAlignment="1">
      <alignment horizontal="center"/>
    </xf>
    <xf numFmtId="0" fontId="3" fillId="0" borderId="0" xfId="0" applyFont="1" applyAlignment="1">
      <alignment horizontal="center"/>
    </xf>
    <xf numFmtId="0" fontId="11" fillId="0" borderId="0" xfId="0" applyFont="1" applyAlignment="1">
      <alignment horizontal="center"/>
    </xf>
    <xf numFmtId="0" fontId="3" fillId="0" borderId="1" xfId="0" applyFont="1" applyBorder="1" applyAlignment="1">
      <alignment horizontal="center"/>
    </xf>
    <xf numFmtId="0" fontId="9" fillId="0" borderId="0" xfId="0" applyFont="1" applyAlignment="1">
      <alignment horizontal="center"/>
    </xf>
    <xf numFmtId="0" fontId="9" fillId="0" borderId="2" xfId="0" applyFont="1" applyBorder="1" applyAlignment="1">
      <alignment horizontal="center"/>
    </xf>
    <xf numFmtId="0" fontId="9" fillId="0" borderId="3" xfId="0" applyFont="1" applyBorder="1" applyAlignment="1">
      <alignment horizontal="center"/>
    </xf>
    <xf numFmtId="0" fontId="9" fillId="0" borderId="4" xfId="0" applyFont="1" applyBorder="1" applyAlignment="1">
      <alignment horizontal="center"/>
    </xf>
    <xf numFmtId="0" fontId="9" fillId="0" borderId="12" xfId="0" applyFont="1" applyBorder="1" applyAlignment="1">
      <alignment horizontal="center"/>
    </xf>
    <xf numFmtId="0" fontId="9" fillId="0" borderId="13" xfId="0" applyFont="1" applyBorder="1" applyAlignment="1">
      <alignment horizontal="center"/>
    </xf>
    <xf numFmtId="0" fontId="9" fillId="0" borderId="14" xfId="0" applyFont="1" applyBorder="1" applyAlignment="1">
      <alignment horizontal="center"/>
    </xf>
    <xf numFmtId="0" fontId="3" fillId="0" borderId="2" xfId="0" applyFont="1" applyBorder="1" applyAlignment="1">
      <alignment horizontal="center"/>
    </xf>
    <xf numFmtId="0" fontId="3" fillId="0" borderId="3" xfId="0" applyFont="1" applyBorder="1" applyAlignment="1">
      <alignment horizontal="center"/>
    </xf>
    <xf numFmtId="0" fontId="3" fillId="0" borderId="4" xfId="0" applyFont="1" applyBorder="1" applyAlignment="1">
      <alignment horizontal="center"/>
    </xf>
    <xf numFmtId="0" fontId="50" fillId="5" borderId="2" xfId="0" applyFont="1" applyFill="1" applyBorder="1" applyAlignment="1">
      <alignment horizontal="center" wrapText="1"/>
    </xf>
    <xf numFmtId="0" fontId="50" fillId="5" borderId="3" xfId="0" applyFont="1" applyFill="1" applyBorder="1" applyAlignment="1">
      <alignment horizontal="center" wrapText="1"/>
    </xf>
    <xf numFmtId="0" fontId="50" fillId="5" borderId="4" xfId="0" applyFont="1" applyFill="1" applyBorder="1" applyAlignment="1">
      <alignment horizontal="center" wrapText="1"/>
    </xf>
    <xf numFmtId="0" fontId="50" fillId="5" borderId="1" xfId="0" applyFont="1" applyFill="1" applyBorder="1" applyAlignment="1">
      <alignment horizontal="center" wrapText="1"/>
    </xf>
    <xf numFmtId="0" fontId="48" fillId="5" borderId="1" xfId="0" applyFont="1" applyFill="1" applyBorder="1" applyAlignment="1">
      <alignment horizontal="center" wrapText="1"/>
    </xf>
    <xf numFmtId="0" fontId="3" fillId="9" borderId="0" xfId="0" applyFont="1" applyFill="1"/>
    <xf numFmtId="0" fontId="0" fillId="9" borderId="0" xfId="0" applyFill="1"/>
  </cellXfs>
  <cellStyles count="6">
    <cellStyle name="Comma" xfId="1" builtinId="3"/>
    <cellStyle name="Hyperlink" xfId="2" builtinId="8"/>
    <cellStyle name="Normal" xfId="0" builtinId="0"/>
    <cellStyle name="Normal 2" xfId="4" xr:uid="{6DE92AA7-7329-2540-AE93-E970F158D71A}"/>
    <cellStyle name="Normal 3" xfId="5" xr:uid="{1A9630AB-47C9-0B4B-AC0F-F40F169F8B57}"/>
    <cellStyle name="Percent" xfId="3" builtinId="5"/>
  </cellStyles>
  <dxfs count="57">
    <dxf>
      <font>
        <color rgb="FF006100"/>
      </font>
      <fill>
        <patternFill>
          <bgColor rgb="FFC6EFCE"/>
        </patternFill>
      </fill>
    </dxf>
    <dxf>
      <font>
        <color auto="1"/>
      </font>
      <fill>
        <patternFill>
          <bgColor rgb="FFFF0000"/>
        </patternFill>
      </fill>
    </dxf>
    <dxf>
      <font>
        <color auto="1"/>
      </font>
      <fill>
        <patternFill>
          <bgColor rgb="FFFF0000"/>
        </patternFill>
      </fill>
    </dxf>
    <dxf>
      <font>
        <color rgb="FF006100"/>
      </font>
      <fill>
        <patternFill>
          <bgColor rgb="FFC6EFCE"/>
        </patternFill>
      </fill>
    </dxf>
    <dxf>
      <font>
        <color auto="1"/>
      </font>
      <fill>
        <patternFill>
          <bgColor rgb="FFFF0000"/>
        </patternFill>
      </fill>
    </dxf>
    <dxf>
      <font>
        <color rgb="FF006100"/>
      </font>
      <fill>
        <patternFill>
          <bgColor rgb="FFC6EFCE"/>
        </patternFill>
      </fill>
    </dxf>
    <dxf>
      <font>
        <color auto="1"/>
      </font>
      <fill>
        <patternFill>
          <bgColor rgb="FFFF0000"/>
        </patternFill>
      </fill>
    </dxf>
    <dxf>
      <font>
        <color rgb="FF006100"/>
      </font>
      <fill>
        <patternFill>
          <bgColor rgb="FFC6EFCE"/>
        </patternFill>
      </fill>
    </dxf>
    <dxf>
      <font>
        <color auto="1"/>
      </font>
      <fill>
        <patternFill>
          <bgColor rgb="FFFF0000"/>
        </patternFill>
      </fill>
    </dxf>
    <dxf>
      <font>
        <color rgb="FF006100"/>
      </font>
      <fill>
        <patternFill>
          <bgColor rgb="FFC6EFCE"/>
        </patternFill>
      </fill>
    </dxf>
    <dxf>
      <font>
        <color rgb="FF006100"/>
      </font>
      <fill>
        <patternFill>
          <bgColor rgb="FFC6EFCE"/>
        </patternFill>
      </fill>
    </dxf>
    <dxf>
      <font>
        <color auto="1"/>
      </font>
      <fill>
        <patternFill>
          <bgColor rgb="FFFF0000"/>
        </patternFill>
      </fill>
    </dxf>
    <dxf>
      <font>
        <color auto="1"/>
      </font>
      <fill>
        <patternFill>
          <bgColor rgb="FFFF0000"/>
        </patternFill>
      </fill>
    </dxf>
    <dxf>
      <font>
        <color rgb="FF006100"/>
      </font>
      <fill>
        <patternFill>
          <bgColor rgb="FFC6EFCE"/>
        </patternFill>
      </fill>
    </dxf>
    <dxf>
      <font>
        <color auto="1"/>
      </font>
      <fill>
        <patternFill>
          <bgColor rgb="FFFF0000"/>
        </patternFill>
      </fill>
    </dxf>
    <dxf>
      <font>
        <color rgb="FF006100"/>
      </font>
      <fill>
        <patternFill>
          <bgColor rgb="FFC6EFCE"/>
        </patternFill>
      </fill>
    </dxf>
    <dxf>
      <font>
        <color auto="1"/>
      </font>
      <fill>
        <patternFill>
          <bgColor rgb="FFFF0000"/>
        </patternFill>
      </fill>
    </dxf>
    <dxf>
      <font>
        <color rgb="FF006100"/>
      </font>
      <fill>
        <patternFill>
          <bgColor rgb="FFC6EFCE"/>
        </patternFill>
      </fill>
    </dxf>
    <dxf>
      <font>
        <color auto="1"/>
      </font>
      <fill>
        <patternFill>
          <bgColor rgb="FFFF0000"/>
        </patternFill>
      </fill>
    </dxf>
    <dxf>
      <font>
        <color rgb="FF006100"/>
      </font>
      <fill>
        <patternFill>
          <bgColor rgb="FFC6EFCE"/>
        </patternFill>
      </fill>
    </dxf>
    <dxf>
      <font>
        <color auto="1"/>
      </font>
      <fill>
        <patternFill>
          <bgColor rgb="FFFF0000"/>
        </patternFill>
      </fill>
    </dxf>
    <dxf>
      <font>
        <color rgb="FF006100"/>
      </font>
      <fill>
        <patternFill>
          <bgColor rgb="FFC6EFCE"/>
        </patternFill>
      </fill>
    </dxf>
    <dxf>
      <font>
        <color auto="1"/>
      </font>
      <fill>
        <patternFill>
          <bgColor rgb="FFFF0000"/>
        </patternFill>
      </fill>
    </dxf>
    <dxf>
      <font>
        <color rgb="FF006100"/>
      </font>
      <fill>
        <patternFill>
          <bgColor rgb="FFC6EFCE"/>
        </patternFill>
      </fill>
    </dxf>
    <dxf>
      <fill>
        <patternFill patternType="solid">
          <fgColor rgb="FFFFC7CE"/>
          <bgColor rgb="FFFFC7CE"/>
        </patternFill>
      </fill>
    </dxf>
    <dxf>
      <fill>
        <patternFill patternType="solid">
          <fgColor rgb="FFA8D08D"/>
          <bgColor rgb="FFA8D08D"/>
        </patternFill>
      </fill>
    </dxf>
    <dxf>
      <fill>
        <patternFill patternType="solid">
          <fgColor rgb="FFFFC7CE"/>
          <bgColor rgb="FFFFC7CE"/>
        </patternFill>
      </fill>
    </dxf>
    <dxf>
      <fill>
        <patternFill patternType="solid">
          <fgColor rgb="FFA8D08D"/>
          <bgColor rgb="FFA8D08D"/>
        </patternFill>
      </fill>
    </dxf>
    <dxf>
      <fill>
        <patternFill patternType="solid">
          <fgColor rgb="FFFFC7CE"/>
          <bgColor rgb="FFFFC7CE"/>
        </patternFill>
      </fill>
    </dxf>
    <dxf>
      <fill>
        <patternFill patternType="solid">
          <fgColor rgb="FFA8D08D"/>
          <bgColor rgb="FFA8D08D"/>
        </patternFill>
      </fill>
    </dxf>
    <dxf>
      <fill>
        <patternFill patternType="solid">
          <fgColor rgb="FFA8D08D"/>
          <bgColor rgb="FFA8D08D"/>
        </patternFill>
      </fill>
    </dxf>
    <dxf>
      <fill>
        <patternFill patternType="solid">
          <fgColor rgb="FFFFC7CE"/>
          <bgColor rgb="FFFFC7CE"/>
        </patternFill>
      </fill>
    </dxf>
    <dxf>
      <fill>
        <patternFill patternType="solid">
          <fgColor rgb="FFFFC7CE"/>
          <bgColor rgb="FFFFC7CE"/>
        </patternFill>
      </fill>
    </dxf>
    <dxf>
      <fill>
        <patternFill patternType="solid">
          <fgColor rgb="FFA8D08D"/>
          <bgColor rgb="FFA8D08D"/>
        </patternFill>
      </fill>
    </dxf>
    <dxf>
      <fill>
        <patternFill patternType="solid">
          <fgColor rgb="FFA8D08D"/>
          <bgColor rgb="FFA8D08D"/>
        </patternFill>
      </fill>
    </dxf>
    <dxf>
      <fill>
        <patternFill patternType="solid">
          <fgColor rgb="FFFFC7CE"/>
          <bgColor rgb="FFFFC7CE"/>
        </patternFill>
      </fill>
    </dxf>
    <dxf>
      <fill>
        <patternFill patternType="solid">
          <fgColor rgb="FFFFC7CE"/>
          <bgColor rgb="FFFFC7CE"/>
        </patternFill>
      </fill>
    </dxf>
    <dxf>
      <fill>
        <patternFill patternType="solid">
          <fgColor rgb="FFA8D08D"/>
          <bgColor rgb="FFA8D08D"/>
        </patternFill>
      </fill>
    </dxf>
    <dxf>
      <fill>
        <patternFill patternType="solid">
          <fgColor rgb="FFA8D08D"/>
          <bgColor rgb="FFA8D08D"/>
        </patternFill>
      </fill>
    </dxf>
    <dxf>
      <fill>
        <patternFill patternType="solid">
          <fgColor rgb="FFFFC7CE"/>
          <bgColor rgb="FFFFC7CE"/>
        </patternFill>
      </fill>
    </dxf>
    <dxf>
      <fill>
        <patternFill patternType="solid">
          <fgColor rgb="FFA8D08D"/>
          <bgColor rgb="FFA8D08D"/>
        </patternFill>
      </fill>
    </dxf>
    <dxf>
      <fill>
        <patternFill patternType="solid">
          <fgColor rgb="FFFFC7CE"/>
          <bgColor rgb="FFFFC7CE"/>
        </patternFill>
      </fill>
    </dxf>
    <dxf>
      <fill>
        <patternFill patternType="solid">
          <fgColor rgb="FFA8D08D"/>
          <bgColor rgb="FFA8D08D"/>
        </patternFill>
      </fill>
    </dxf>
    <dxf>
      <fill>
        <patternFill patternType="solid">
          <fgColor rgb="FFFFC7CE"/>
          <bgColor rgb="FFFFC7CE"/>
        </patternFill>
      </fill>
    </dxf>
    <dxf>
      <fill>
        <patternFill patternType="solid">
          <fgColor rgb="FFA8D08D"/>
          <bgColor rgb="FFA8D08D"/>
        </patternFill>
      </fill>
    </dxf>
    <dxf>
      <fill>
        <patternFill patternType="solid">
          <fgColor rgb="FFFFC7CE"/>
          <bgColor rgb="FFFFC7CE"/>
        </patternFill>
      </fill>
    </dxf>
    <dxf>
      <fill>
        <patternFill patternType="solid">
          <fgColor rgb="FFA8D08D"/>
          <bgColor rgb="FFA8D08D"/>
        </patternFill>
      </fill>
    </dxf>
    <dxf>
      <fill>
        <patternFill patternType="solid">
          <fgColor rgb="FFFFC7CE"/>
          <bgColor rgb="FFFFC7CE"/>
        </patternFill>
      </fill>
    </dxf>
    <dxf>
      <fill>
        <patternFill patternType="solid">
          <fgColor rgb="FFA8D08D"/>
          <bgColor rgb="FFA8D08D"/>
        </patternFill>
      </fill>
    </dxf>
    <dxf>
      <fill>
        <patternFill patternType="solid">
          <fgColor rgb="FFFFC7CE"/>
          <bgColor rgb="FFFFC7CE"/>
        </patternFill>
      </fill>
    </dxf>
    <dxf>
      <fill>
        <patternFill patternType="solid">
          <fgColor rgb="FFFFC7CE"/>
          <bgColor rgb="FFFFC7CE"/>
        </patternFill>
      </fill>
    </dxf>
    <dxf>
      <fill>
        <patternFill patternType="solid">
          <fgColor rgb="FFA8D08D"/>
          <bgColor rgb="FFA8D08D"/>
        </patternFill>
      </fill>
    </dxf>
    <dxf>
      <fill>
        <patternFill patternType="solid">
          <fgColor rgb="FFFFC7CE"/>
          <bgColor rgb="FFFFC7CE"/>
        </patternFill>
      </fill>
    </dxf>
    <dxf>
      <fill>
        <patternFill patternType="solid">
          <fgColor rgb="FFA8D08D"/>
          <bgColor rgb="FFA8D08D"/>
        </patternFill>
      </fill>
    </dxf>
    <dxf>
      <fill>
        <patternFill patternType="solid">
          <fgColor rgb="FFFFC7CE"/>
          <bgColor rgb="FFFFC7CE"/>
        </patternFill>
      </fill>
    </dxf>
    <dxf>
      <fill>
        <patternFill patternType="solid">
          <fgColor rgb="FFA8D08D"/>
          <bgColor rgb="FFA8D08D"/>
        </patternFill>
      </fill>
    </dxf>
    <dxf>
      <fill>
        <patternFill>
          <bgColor rgb="FFFF0000"/>
        </patternFill>
      </fill>
    </dxf>
  </dxfs>
  <tableStyles count="0" defaultTableStyle="TableStyleMedium2" defaultPivotStyle="PivotStyleLight16"/>
  <colors>
    <mruColors>
      <color rgb="FFFFB1B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solidFill>
                <a:prstDash val="sysDot"/>
              </a:ln>
              <a:effectLst/>
            </c:spPr>
            <c:trendlineType val="linear"/>
            <c:forward val="3"/>
            <c:dispRSqr val="1"/>
            <c:dispEq val="1"/>
            <c:trendlineLbl>
              <c:layout>
                <c:manualLayout>
                  <c:x val="3.0664916885389325E-2"/>
                  <c:y val="0.18942111402741324"/>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PlasticsDataCompilation!$Q$10:$Q$13</c:f>
              <c:numCache>
                <c:formatCode>General</c:formatCode>
                <c:ptCount val="4"/>
                <c:pt idx="0">
                  <c:v>2013</c:v>
                </c:pt>
                <c:pt idx="1">
                  <c:v>2014</c:v>
                </c:pt>
                <c:pt idx="2">
                  <c:v>2015</c:v>
                </c:pt>
                <c:pt idx="3">
                  <c:v>2016</c:v>
                </c:pt>
              </c:numCache>
            </c:numRef>
          </c:xVal>
          <c:yVal>
            <c:numRef>
              <c:f>PlasticsDataCompilation!$R$10:$R$13</c:f>
              <c:numCache>
                <c:formatCode>General</c:formatCode>
                <c:ptCount val="4"/>
                <c:pt idx="0">
                  <c:v>9.3000000000000007</c:v>
                </c:pt>
                <c:pt idx="1">
                  <c:v>10.199999999999999</c:v>
                </c:pt>
                <c:pt idx="2">
                  <c:v>10.6</c:v>
                </c:pt>
                <c:pt idx="3">
                  <c:v>10.8</c:v>
                </c:pt>
              </c:numCache>
            </c:numRef>
          </c:yVal>
          <c:smooth val="0"/>
          <c:extLst>
            <c:ext xmlns:c16="http://schemas.microsoft.com/office/drawing/2014/chart" uri="{C3380CC4-5D6E-409C-BE32-E72D297353CC}">
              <c16:uniqueId val="{00000000-1F4A-984E-9B74-7D50BBECC3CE}"/>
            </c:ext>
          </c:extLst>
        </c:ser>
        <c:dLbls>
          <c:dLblPos val="t"/>
          <c:showLegendKey val="0"/>
          <c:showVal val="1"/>
          <c:showCatName val="0"/>
          <c:showSerName val="0"/>
          <c:showPercent val="0"/>
          <c:showBubbleSize val="0"/>
        </c:dLbls>
        <c:axId val="1152926320"/>
        <c:axId val="1133822432"/>
      </c:scatterChart>
      <c:valAx>
        <c:axId val="115292632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3822432"/>
        <c:crosses val="autoZero"/>
        <c:crossBetween val="midCat"/>
      </c:valAx>
      <c:valAx>
        <c:axId val="11338224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292632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1"/>
            <c:dispEq val="1"/>
            <c:trendlineLbl>
              <c:layout>
                <c:manualLayout>
                  <c:x val="-2.7189413823272093E-3"/>
                  <c:y val="0.34219889180519103"/>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PlasticsDataCompilation!$X$90:$X$93</c:f>
              <c:numCache>
                <c:formatCode>General</c:formatCode>
                <c:ptCount val="4"/>
                <c:pt idx="0">
                  <c:v>2013</c:v>
                </c:pt>
                <c:pt idx="1">
                  <c:v>2014</c:v>
                </c:pt>
                <c:pt idx="2">
                  <c:v>2015</c:v>
                </c:pt>
                <c:pt idx="3">
                  <c:v>2016</c:v>
                </c:pt>
              </c:numCache>
            </c:numRef>
          </c:xVal>
          <c:yVal>
            <c:numRef>
              <c:f>PlasticsDataCompilation!$Y$90:$Y$93</c:f>
              <c:numCache>
                <c:formatCode>General</c:formatCode>
                <c:ptCount val="4"/>
                <c:pt idx="0">
                  <c:v>4.0999999999999996</c:v>
                </c:pt>
                <c:pt idx="1">
                  <c:v>4.5999999999999996</c:v>
                </c:pt>
                <c:pt idx="2">
                  <c:v>5.0999999999999996</c:v>
                </c:pt>
                <c:pt idx="3">
                  <c:v>5.5</c:v>
                </c:pt>
              </c:numCache>
            </c:numRef>
          </c:yVal>
          <c:smooth val="0"/>
          <c:extLst>
            <c:ext xmlns:c16="http://schemas.microsoft.com/office/drawing/2014/chart" uri="{C3380CC4-5D6E-409C-BE32-E72D297353CC}">
              <c16:uniqueId val="{00000000-F3F5-654C-B47C-19678957097E}"/>
            </c:ext>
          </c:extLst>
        </c:ser>
        <c:dLbls>
          <c:showLegendKey val="0"/>
          <c:showVal val="0"/>
          <c:showCatName val="0"/>
          <c:showSerName val="0"/>
          <c:showPercent val="0"/>
          <c:showBubbleSize val="0"/>
        </c:dLbls>
        <c:axId val="1178735904"/>
        <c:axId val="726808048"/>
      </c:scatterChart>
      <c:valAx>
        <c:axId val="117873590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6808048"/>
        <c:crosses val="autoZero"/>
        <c:crossBetween val="midCat"/>
      </c:valAx>
      <c:valAx>
        <c:axId val="7268080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873590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0"/>
          <c:order val="0"/>
          <c:tx>
            <c:strRef>
              <c:f>Bandwidth!$A$33</c:f>
              <c:strCache>
                <c:ptCount val="1"/>
                <c:pt idx="0">
                  <c:v>Polyurethane</c:v>
                </c:pt>
              </c:strCache>
            </c:strRef>
          </c:tx>
          <c:spPr>
            <a:solidFill>
              <a:schemeClr val="accent1"/>
            </a:solidFill>
            <a:ln>
              <a:noFill/>
            </a:ln>
            <a:effectLst/>
          </c:spPr>
          <c:invertIfNegative val="0"/>
          <c:cat>
            <c:strRef>
              <c:f>Bandwidth!$B$32:$H$32</c:f>
              <c:strCache>
                <c:ptCount val="7"/>
                <c:pt idx="0">
                  <c:v>Current Typical (Baseline)</c:v>
                </c:pt>
                <c:pt idx="1">
                  <c:v>State of the Art</c:v>
                </c:pt>
                <c:pt idx="2">
                  <c:v>Practical Minimum</c:v>
                </c:pt>
                <c:pt idx="3">
                  <c:v>Theoretical Minimum</c:v>
                </c:pt>
                <c:pt idx="4">
                  <c:v>State of the Art</c:v>
                </c:pt>
                <c:pt idx="5">
                  <c:v>Practical Minimum</c:v>
                </c:pt>
                <c:pt idx="6">
                  <c:v>Theoretical Minimum</c:v>
                </c:pt>
              </c:strCache>
            </c:strRef>
          </c:cat>
          <c:val>
            <c:numRef>
              <c:f>Bandwidth!$B$33:$H$33</c:f>
              <c:numCache>
                <c:formatCode>0.00</c:formatCode>
                <c:ptCount val="7"/>
                <c:pt idx="0">
                  <c:v>15.699549312962873</c:v>
                </c:pt>
                <c:pt idx="1">
                  <c:v>2.0366908892186042</c:v>
                </c:pt>
                <c:pt idx="2">
                  <c:v>0</c:v>
                </c:pt>
                <c:pt idx="3">
                  <c:v>0</c:v>
                </c:pt>
                <c:pt idx="4">
                  <c:v>0</c:v>
                </c:pt>
                <c:pt idx="5">
                  <c:v>0</c:v>
                </c:pt>
                <c:pt idx="6">
                  <c:v>0</c:v>
                </c:pt>
              </c:numCache>
            </c:numRef>
          </c:val>
          <c:extLst>
            <c:ext xmlns:c16="http://schemas.microsoft.com/office/drawing/2014/chart" uri="{C3380CC4-5D6E-409C-BE32-E72D297353CC}">
              <c16:uniqueId val="{00000000-9332-744F-9895-3EEB8A156256}"/>
            </c:ext>
          </c:extLst>
        </c:ser>
        <c:ser>
          <c:idx val="1"/>
          <c:order val="1"/>
          <c:tx>
            <c:strRef>
              <c:f>Bandwidth!$A$34</c:f>
              <c:strCache>
                <c:ptCount val="1"/>
                <c:pt idx="0">
                  <c:v>Other thermosets</c:v>
                </c:pt>
              </c:strCache>
            </c:strRef>
          </c:tx>
          <c:spPr>
            <a:solidFill>
              <a:schemeClr val="accent2"/>
            </a:solidFill>
            <a:ln>
              <a:noFill/>
            </a:ln>
            <a:effectLst/>
          </c:spPr>
          <c:invertIfNegative val="0"/>
          <c:cat>
            <c:strRef>
              <c:f>Bandwidth!$B$32:$H$32</c:f>
              <c:strCache>
                <c:ptCount val="7"/>
                <c:pt idx="0">
                  <c:v>Current Typical (Baseline)</c:v>
                </c:pt>
                <c:pt idx="1">
                  <c:v>State of the Art</c:v>
                </c:pt>
                <c:pt idx="2">
                  <c:v>Practical Minimum</c:v>
                </c:pt>
                <c:pt idx="3">
                  <c:v>Theoretical Minimum</c:v>
                </c:pt>
                <c:pt idx="4">
                  <c:v>State of the Art</c:v>
                </c:pt>
                <c:pt idx="5">
                  <c:v>Practical Minimum</c:v>
                </c:pt>
                <c:pt idx="6">
                  <c:v>Theoretical Minimum</c:v>
                </c:pt>
              </c:strCache>
            </c:strRef>
          </c:cat>
          <c:val>
            <c:numRef>
              <c:f>Bandwidth!$B$34:$H$34</c:f>
              <c:numCache>
                <c:formatCode>0.00</c:formatCode>
                <c:ptCount val="7"/>
                <c:pt idx="0">
                  <c:v>1.5314589040056534</c:v>
                </c:pt>
                <c:pt idx="1">
                  <c:v>1.7104148645049755</c:v>
                </c:pt>
                <c:pt idx="2">
                  <c:v>1.1402765763366502</c:v>
                </c:pt>
                <c:pt idx="3">
                  <c:v>0</c:v>
                </c:pt>
                <c:pt idx="4">
                  <c:v>0.57013828816832501</c:v>
                </c:pt>
                <c:pt idx="5">
                  <c:v>0.19004609605610812</c:v>
                </c:pt>
                <c:pt idx="6">
                  <c:v>0</c:v>
                </c:pt>
              </c:numCache>
            </c:numRef>
          </c:val>
          <c:extLst>
            <c:ext xmlns:c16="http://schemas.microsoft.com/office/drawing/2014/chart" uri="{C3380CC4-5D6E-409C-BE32-E72D297353CC}">
              <c16:uniqueId val="{00000001-9332-744F-9895-3EEB8A156256}"/>
            </c:ext>
          </c:extLst>
        </c:ser>
        <c:ser>
          <c:idx val="2"/>
          <c:order val="2"/>
          <c:tx>
            <c:strRef>
              <c:f>Bandwidth!$A$35</c:f>
              <c:strCache>
                <c:ptCount val="1"/>
                <c:pt idx="0">
                  <c:v>LDPE</c:v>
                </c:pt>
              </c:strCache>
            </c:strRef>
          </c:tx>
          <c:spPr>
            <a:solidFill>
              <a:schemeClr val="accent3"/>
            </a:solidFill>
            <a:ln>
              <a:noFill/>
            </a:ln>
            <a:effectLst/>
          </c:spPr>
          <c:invertIfNegative val="0"/>
          <c:cat>
            <c:strRef>
              <c:f>Bandwidth!$B$32:$H$32</c:f>
              <c:strCache>
                <c:ptCount val="7"/>
                <c:pt idx="0">
                  <c:v>Current Typical (Baseline)</c:v>
                </c:pt>
                <c:pt idx="1">
                  <c:v>State of the Art</c:v>
                </c:pt>
                <c:pt idx="2">
                  <c:v>Practical Minimum</c:v>
                </c:pt>
                <c:pt idx="3">
                  <c:v>Theoretical Minimum</c:v>
                </c:pt>
                <c:pt idx="4">
                  <c:v>State of the Art</c:v>
                </c:pt>
                <c:pt idx="5">
                  <c:v>Practical Minimum</c:v>
                </c:pt>
                <c:pt idx="6">
                  <c:v>Theoretical Minimum</c:v>
                </c:pt>
              </c:strCache>
            </c:strRef>
          </c:cat>
          <c:val>
            <c:numRef>
              <c:f>Bandwidth!$B$35:$H$35</c:f>
              <c:numCache>
                <c:formatCode>0.00</c:formatCode>
                <c:ptCount val="7"/>
                <c:pt idx="0">
                  <c:v>1.4234163603198624</c:v>
                </c:pt>
                <c:pt idx="1">
                  <c:v>0.87139715198410606</c:v>
                </c:pt>
                <c:pt idx="2">
                  <c:v>0.19364381155202354</c:v>
                </c:pt>
                <c:pt idx="3">
                  <c:v>0</c:v>
                </c:pt>
                <c:pt idx="4">
                  <c:v>0.67775334043208257</c:v>
                </c:pt>
                <c:pt idx="5">
                  <c:v>0.19364381155202334</c:v>
                </c:pt>
                <c:pt idx="6">
                  <c:v>0</c:v>
                </c:pt>
              </c:numCache>
            </c:numRef>
          </c:val>
          <c:extLst>
            <c:ext xmlns:c16="http://schemas.microsoft.com/office/drawing/2014/chart" uri="{C3380CC4-5D6E-409C-BE32-E72D297353CC}">
              <c16:uniqueId val="{00000002-9332-744F-9895-3EEB8A156256}"/>
            </c:ext>
          </c:extLst>
        </c:ser>
        <c:ser>
          <c:idx val="3"/>
          <c:order val="3"/>
          <c:tx>
            <c:strRef>
              <c:f>Bandwidth!$A$36</c:f>
              <c:strCache>
                <c:ptCount val="1"/>
                <c:pt idx="0">
                  <c:v>LLDPE</c:v>
                </c:pt>
              </c:strCache>
            </c:strRef>
          </c:tx>
          <c:spPr>
            <a:solidFill>
              <a:schemeClr val="accent4"/>
            </a:solidFill>
            <a:ln>
              <a:noFill/>
            </a:ln>
            <a:effectLst/>
          </c:spPr>
          <c:invertIfNegative val="0"/>
          <c:cat>
            <c:strRef>
              <c:f>Bandwidth!$B$32:$H$32</c:f>
              <c:strCache>
                <c:ptCount val="7"/>
                <c:pt idx="0">
                  <c:v>Current Typical (Baseline)</c:v>
                </c:pt>
                <c:pt idx="1">
                  <c:v>State of the Art</c:v>
                </c:pt>
                <c:pt idx="2">
                  <c:v>Practical Minimum</c:v>
                </c:pt>
                <c:pt idx="3">
                  <c:v>Theoretical Minimum</c:v>
                </c:pt>
                <c:pt idx="4">
                  <c:v>State of the Art</c:v>
                </c:pt>
                <c:pt idx="5">
                  <c:v>Practical Minimum</c:v>
                </c:pt>
                <c:pt idx="6">
                  <c:v>Theoretical Minimum</c:v>
                </c:pt>
              </c:strCache>
            </c:strRef>
          </c:cat>
          <c:val>
            <c:numRef>
              <c:f>Bandwidth!$B$36:$H$36</c:f>
              <c:numCache>
                <c:formatCode>0.00</c:formatCode>
                <c:ptCount val="7"/>
                <c:pt idx="0">
                  <c:v>1.2351271160029842</c:v>
                </c:pt>
                <c:pt idx="1">
                  <c:v>0.75612890312816539</c:v>
                </c:pt>
                <c:pt idx="2">
                  <c:v>0.16802864513959229</c:v>
                </c:pt>
                <c:pt idx="3">
                  <c:v>0</c:v>
                </c:pt>
                <c:pt idx="4">
                  <c:v>0.58810025798857313</c:v>
                </c:pt>
                <c:pt idx="5">
                  <c:v>0.16802864513959209</c:v>
                </c:pt>
                <c:pt idx="6">
                  <c:v>0</c:v>
                </c:pt>
              </c:numCache>
            </c:numRef>
          </c:val>
          <c:extLst>
            <c:ext xmlns:c16="http://schemas.microsoft.com/office/drawing/2014/chart" uri="{C3380CC4-5D6E-409C-BE32-E72D297353CC}">
              <c16:uniqueId val="{00000003-9332-744F-9895-3EEB8A156256}"/>
            </c:ext>
          </c:extLst>
        </c:ser>
        <c:ser>
          <c:idx val="4"/>
          <c:order val="4"/>
          <c:tx>
            <c:strRef>
              <c:f>Bandwidth!$A$37</c:f>
              <c:strCache>
                <c:ptCount val="1"/>
                <c:pt idx="0">
                  <c:v>HDPE</c:v>
                </c:pt>
              </c:strCache>
            </c:strRef>
          </c:tx>
          <c:spPr>
            <a:solidFill>
              <a:schemeClr val="accent5"/>
            </a:solidFill>
            <a:ln>
              <a:noFill/>
            </a:ln>
            <a:effectLst/>
          </c:spPr>
          <c:invertIfNegative val="0"/>
          <c:cat>
            <c:strRef>
              <c:f>Bandwidth!$B$32:$H$32</c:f>
              <c:strCache>
                <c:ptCount val="7"/>
                <c:pt idx="0">
                  <c:v>Current Typical (Baseline)</c:v>
                </c:pt>
                <c:pt idx="1">
                  <c:v>State of the Art</c:v>
                </c:pt>
                <c:pt idx="2">
                  <c:v>Practical Minimum</c:v>
                </c:pt>
                <c:pt idx="3">
                  <c:v>Theoretical Minimum</c:v>
                </c:pt>
                <c:pt idx="4">
                  <c:v>State of the Art</c:v>
                </c:pt>
                <c:pt idx="5">
                  <c:v>Practical Minimum</c:v>
                </c:pt>
                <c:pt idx="6">
                  <c:v>Theoretical Minimum</c:v>
                </c:pt>
              </c:strCache>
            </c:strRef>
          </c:cat>
          <c:val>
            <c:numRef>
              <c:f>Bandwidth!$B$37:$H$37</c:f>
              <c:numCache>
                <c:formatCode>0.00</c:formatCode>
                <c:ptCount val="7"/>
                <c:pt idx="0">
                  <c:v>1.6348107387684552</c:v>
                </c:pt>
                <c:pt idx="1">
                  <c:v>0</c:v>
                </c:pt>
                <c:pt idx="2">
                  <c:v>0</c:v>
                </c:pt>
                <c:pt idx="3">
                  <c:v>0</c:v>
                </c:pt>
                <c:pt idx="4">
                  <c:v>0</c:v>
                </c:pt>
                <c:pt idx="5">
                  <c:v>0</c:v>
                </c:pt>
                <c:pt idx="6">
                  <c:v>0</c:v>
                </c:pt>
              </c:numCache>
            </c:numRef>
          </c:val>
          <c:extLst>
            <c:ext xmlns:c16="http://schemas.microsoft.com/office/drawing/2014/chart" uri="{C3380CC4-5D6E-409C-BE32-E72D297353CC}">
              <c16:uniqueId val="{00000004-9332-744F-9895-3EEB8A156256}"/>
            </c:ext>
          </c:extLst>
        </c:ser>
        <c:ser>
          <c:idx val="5"/>
          <c:order val="5"/>
          <c:tx>
            <c:strRef>
              <c:f>Bandwidth!$A$38</c:f>
              <c:strCache>
                <c:ptCount val="1"/>
                <c:pt idx="0">
                  <c:v>PP</c:v>
                </c:pt>
              </c:strCache>
            </c:strRef>
          </c:tx>
          <c:spPr>
            <a:solidFill>
              <a:schemeClr val="accent6"/>
            </a:solidFill>
            <a:ln>
              <a:noFill/>
            </a:ln>
            <a:effectLst/>
          </c:spPr>
          <c:invertIfNegative val="0"/>
          <c:cat>
            <c:strRef>
              <c:f>Bandwidth!$B$32:$H$32</c:f>
              <c:strCache>
                <c:ptCount val="7"/>
                <c:pt idx="0">
                  <c:v>Current Typical (Baseline)</c:v>
                </c:pt>
                <c:pt idx="1">
                  <c:v>State of the Art</c:v>
                </c:pt>
                <c:pt idx="2">
                  <c:v>Practical Minimum</c:v>
                </c:pt>
                <c:pt idx="3">
                  <c:v>Theoretical Minimum</c:v>
                </c:pt>
                <c:pt idx="4">
                  <c:v>State of the Art</c:v>
                </c:pt>
                <c:pt idx="5">
                  <c:v>Practical Minimum</c:v>
                </c:pt>
                <c:pt idx="6">
                  <c:v>Theoretical Minimum</c:v>
                </c:pt>
              </c:strCache>
            </c:strRef>
          </c:cat>
          <c:val>
            <c:numRef>
              <c:f>Bandwidth!$B$38:$H$38</c:f>
              <c:numCache>
                <c:formatCode>0.00</c:formatCode>
                <c:ptCount val="7"/>
                <c:pt idx="0">
                  <c:v>1.4753242234518262</c:v>
                </c:pt>
                <c:pt idx="1">
                  <c:v>0.36150292806583351</c:v>
                </c:pt>
                <c:pt idx="2">
                  <c:v>0.18075146403291675</c:v>
                </c:pt>
                <c:pt idx="3">
                  <c:v>0</c:v>
                </c:pt>
                <c:pt idx="4">
                  <c:v>0.27112719604937524</c:v>
                </c:pt>
                <c:pt idx="5">
                  <c:v>0</c:v>
                </c:pt>
                <c:pt idx="6">
                  <c:v>0</c:v>
                </c:pt>
              </c:numCache>
            </c:numRef>
          </c:val>
          <c:extLst>
            <c:ext xmlns:c16="http://schemas.microsoft.com/office/drawing/2014/chart" uri="{C3380CC4-5D6E-409C-BE32-E72D297353CC}">
              <c16:uniqueId val="{00000006-9332-744F-9895-3EEB8A156256}"/>
            </c:ext>
          </c:extLst>
        </c:ser>
        <c:ser>
          <c:idx val="6"/>
          <c:order val="6"/>
          <c:tx>
            <c:strRef>
              <c:f>Bandwidth!$A$39</c:f>
              <c:strCache>
                <c:ptCount val="1"/>
                <c:pt idx="0">
                  <c:v>PS</c:v>
                </c:pt>
              </c:strCache>
            </c:strRef>
          </c:tx>
          <c:spPr>
            <a:solidFill>
              <a:schemeClr val="accent1">
                <a:lumMod val="60000"/>
              </a:schemeClr>
            </a:solidFill>
            <a:ln>
              <a:noFill/>
            </a:ln>
            <a:effectLst/>
          </c:spPr>
          <c:invertIfNegative val="0"/>
          <c:cat>
            <c:strRef>
              <c:f>Bandwidth!$B$32:$H$32</c:f>
              <c:strCache>
                <c:ptCount val="7"/>
                <c:pt idx="0">
                  <c:v>Current Typical (Baseline)</c:v>
                </c:pt>
                <c:pt idx="1">
                  <c:v>State of the Art</c:v>
                </c:pt>
                <c:pt idx="2">
                  <c:v>Practical Minimum</c:v>
                </c:pt>
                <c:pt idx="3">
                  <c:v>Theoretical Minimum</c:v>
                </c:pt>
                <c:pt idx="4">
                  <c:v>State of the Art</c:v>
                </c:pt>
                <c:pt idx="5">
                  <c:v>Practical Minimum</c:v>
                </c:pt>
                <c:pt idx="6">
                  <c:v>Theoretical Minimum</c:v>
                </c:pt>
              </c:strCache>
            </c:strRef>
          </c:cat>
          <c:val>
            <c:numRef>
              <c:f>Bandwidth!$B$39:$H$39</c:f>
              <c:numCache>
                <c:formatCode>0.00</c:formatCode>
                <c:ptCount val="7"/>
                <c:pt idx="0">
                  <c:v>1.3171386528375322</c:v>
                </c:pt>
                <c:pt idx="1">
                  <c:v>0.33724851550185564</c:v>
                </c:pt>
                <c:pt idx="2">
                  <c:v>0.16862425775092782</c:v>
                </c:pt>
                <c:pt idx="3">
                  <c:v>0</c:v>
                </c:pt>
                <c:pt idx="4">
                  <c:v>0.25293638662639184</c:v>
                </c:pt>
                <c:pt idx="5">
                  <c:v>0</c:v>
                </c:pt>
                <c:pt idx="6">
                  <c:v>0</c:v>
                </c:pt>
              </c:numCache>
            </c:numRef>
          </c:val>
          <c:extLst>
            <c:ext xmlns:c16="http://schemas.microsoft.com/office/drawing/2014/chart" uri="{C3380CC4-5D6E-409C-BE32-E72D297353CC}">
              <c16:uniqueId val="{00000007-9332-744F-9895-3EEB8A156256}"/>
            </c:ext>
          </c:extLst>
        </c:ser>
        <c:ser>
          <c:idx val="7"/>
          <c:order val="7"/>
          <c:tx>
            <c:strRef>
              <c:f>Bandwidth!$A$40</c:f>
              <c:strCache>
                <c:ptCount val="1"/>
                <c:pt idx="0">
                  <c:v>EPS</c:v>
                </c:pt>
              </c:strCache>
            </c:strRef>
          </c:tx>
          <c:spPr>
            <a:solidFill>
              <a:schemeClr val="accent2">
                <a:lumMod val="60000"/>
              </a:schemeClr>
            </a:solidFill>
            <a:ln>
              <a:noFill/>
            </a:ln>
            <a:effectLst/>
          </c:spPr>
          <c:invertIfNegative val="0"/>
          <c:cat>
            <c:strRef>
              <c:f>Bandwidth!$B$32:$H$32</c:f>
              <c:strCache>
                <c:ptCount val="7"/>
                <c:pt idx="0">
                  <c:v>Current Typical (Baseline)</c:v>
                </c:pt>
                <c:pt idx="1">
                  <c:v>State of the Art</c:v>
                </c:pt>
                <c:pt idx="2">
                  <c:v>Practical Minimum</c:v>
                </c:pt>
                <c:pt idx="3">
                  <c:v>Theoretical Minimum</c:v>
                </c:pt>
                <c:pt idx="4">
                  <c:v>State of the Art</c:v>
                </c:pt>
                <c:pt idx="5">
                  <c:v>Practical Minimum</c:v>
                </c:pt>
                <c:pt idx="6">
                  <c:v>Theoretical Minimum</c:v>
                </c:pt>
              </c:strCache>
            </c:strRef>
          </c:cat>
          <c:val>
            <c:numRef>
              <c:f>Bandwidth!$B$40:$H$40</c:f>
              <c:numCache>
                <c:formatCode>0.00</c:formatCode>
                <c:ptCount val="7"/>
                <c:pt idx="0">
                  <c:v>1.3525545204591718</c:v>
                </c:pt>
                <c:pt idx="1">
                  <c:v>0.34631661835866362</c:v>
                </c:pt>
                <c:pt idx="2">
                  <c:v>0.17315830917933181</c:v>
                </c:pt>
                <c:pt idx="3">
                  <c:v>0</c:v>
                </c:pt>
                <c:pt idx="4">
                  <c:v>0.25973746376899781</c:v>
                </c:pt>
                <c:pt idx="5">
                  <c:v>0</c:v>
                </c:pt>
                <c:pt idx="6">
                  <c:v>0</c:v>
                </c:pt>
              </c:numCache>
            </c:numRef>
          </c:val>
          <c:extLst>
            <c:ext xmlns:c16="http://schemas.microsoft.com/office/drawing/2014/chart" uri="{C3380CC4-5D6E-409C-BE32-E72D297353CC}">
              <c16:uniqueId val="{00000008-9332-744F-9895-3EEB8A156256}"/>
            </c:ext>
          </c:extLst>
        </c:ser>
        <c:ser>
          <c:idx val="8"/>
          <c:order val="8"/>
          <c:tx>
            <c:strRef>
              <c:f>Bandwidth!$A$41</c:f>
              <c:strCache>
                <c:ptCount val="1"/>
                <c:pt idx="0">
                  <c:v>PVC</c:v>
                </c:pt>
              </c:strCache>
            </c:strRef>
          </c:tx>
          <c:spPr>
            <a:solidFill>
              <a:schemeClr val="accent3">
                <a:lumMod val="60000"/>
              </a:schemeClr>
            </a:solidFill>
            <a:ln>
              <a:noFill/>
            </a:ln>
            <a:effectLst/>
          </c:spPr>
          <c:invertIfNegative val="0"/>
          <c:cat>
            <c:strRef>
              <c:f>Bandwidth!$B$32:$H$32</c:f>
              <c:strCache>
                <c:ptCount val="7"/>
                <c:pt idx="0">
                  <c:v>Current Typical (Baseline)</c:v>
                </c:pt>
                <c:pt idx="1">
                  <c:v>State of the Art</c:v>
                </c:pt>
                <c:pt idx="2">
                  <c:v>Practical Minimum</c:v>
                </c:pt>
                <c:pt idx="3">
                  <c:v>Theoretical Minimum</c:v>
                </c:pt>
                <c:pt idx="4">
                  <c:v>State of the Art</c:v>
                </c:pt>
                <c:pt idx="5">
                  <c:v>Practical Minimum</c:v>
                </c:pt>
                <c:pt idx="6">
                  <c:v>Theoretical Minimum</c:v>
                </c:pt>
              </c:strCache>
            </c:strRef>
          </c:cat>
          <c:val>
            <c:numRef>
              <c:f>Bandwidth!$B$41:$H$41</c:f>
              <c:numCache>
                <c:formatCode>0.00</c:formatCode>
                <c:ptCount val="7"/>
                <c:pt idx="0">
                  <c:v>1.4328079188353258</c:v>
                </c:pt>
                <c:pt idx="1">
                  <c:v>1.6832544537612097</c:v>
                </c:pt>
                <c:pt idx="2">
                  <c:v>0.88592339671642617</c:v>
                </c:pt>
                <c:pt idx="3">
                  <c:v>0</c:v>
                </c:pt>
                <c:pt idx="4">
                  <c:v>0.88592339671642617</c:v>
                </c:pt>
                <c:pt idx="5">
                  <c:v>0.62014637770149827</c:v>
                </c:pt>
                <c:pt idx="6">
                  <c:v>0</c:v>
                </c:pt>
              </c:numCache>
            </c:numRef>
          </c:val>
          <c:extLst>
            <c:ext xmlns:c16="http://schemas.microsoft.com/office/drawing/2014/chart" uri="{C3380CC4-5D6E-409C-BE32-E72D297353CC}">
              <c16:uniqueId val="{00000009-9332-744F-9895-3EEB8A156256}"/>
            </c:ext>
          </c:extLst>
        </c:ser>
        <c:ser>
          <c:idx val="9"/>
          <c:order val="9"/>
          <c:tx>
            <c:strRef>
              <c:f>Bandwidth!$A$42</c:f>
              <c:strCache>
                <c:ptCount val="1"/>
                <c:pt idx="0">
                  <c:v>PET</c:v>
                </c:pt>
              </c:strCache>
            </c:strRef>
          </c:tx>
          <c:spPr>
            <a:solidFill>
              <a:schemeClr val="accent4">
                <a:lumMod val="60000"/>
              </a:schemeClr>
            </a:solidFill>
            <a:ln>
              <a:noFill/>
            </a:ln>
            <a:effectLst/>
          </c:spPr>
          <c:invertIfNegative val="0"/>
          <c:cat>
            <c:strRef>
              <c:f>Bandwidth!$B$32:$H$32</c:f>
              <c:strCache>
                <c:ptCount val="7"/>
                <c:pt idx="0">
                  <c:v>Current Typical (Baseline)</c:v>
                </c:pt>
                <c:pt idx="1">
                  <c:v>State of the Art</c:v>
                </c:pt>
                <c:pt idx="2">
                  <c:v>Practical Minimum</c:v>
                </c:pt>
                <c:pt idx="3">
                  <c:v>Theoretical Minimum</c:v>
                </c:pt>
                <c:pt idx="4">
                  <c:v>State of the Art</c:v>
                </c:pt>
                <c:pt idx="5">
                  <c:v>Practical Minimum</c:v>
                </c:pt>
                <c:pt idx="6">
                  <c:v>Theoretical Minimum</c:v>
                </c:pt>
              </c:strCache>
            </c:strRef>
          </c:cat>
          <c:val>
            <c:numRef>
              <c:f>Bandwidth!$B$42:$H$42</c:f>
              <c:numCache>
                <c:formatCode>0.00</c:formatCode>
                <c:ptCount val="7"/>
                <c:pt idx="0">
                  <c:v>2.6502770798950683</c:v>
                </c:pt>
                <c:pt idx="1">
                  <c:v>0</c:v>
                </c:pt>
                <c:pt idx="2">
                  <c:v>0</c:v>
                </c:pt>
                <c:pt idx="3">
                  <c:v>0</c:v>
                </c:pt>
                <c:pt idx="4">
                  <c:v>0</c:v>
                </c:pt>
                <c:pt idx="5">
                  <c:v>0</c:v>
                </c:pt>
                <c:pt idx="6">
                  <c:v>0</c:v>
                </c:pt>
              </c:numCache>
            </c:numRef>
          </c:val>
          <c:extLst>
            <c:ext xmlns:c16="http://schemas.microsoft.com/office/drawing/2014/chart" uri="{C3380CC4-5D6E-409C-BE32-E72D297353CC}">
              <c16:uniqueId val="{0000000A-9332-744F-9895-3EEB8A156256}"/>
            </c:ext>
          </c:extLst>
        </c:ser>
        <c:ser>
          <c:idx val="10"/>
          <c:order val="10"/>
          <c:tx>
            <c:strRef>
              <c:f>Bandwidth!$A$43</c:f>
              <c:strCache>
                <c:ptCount val="1"/>
                <c:pt idx="0">
                  <c:v>Polyester fiber</c:v>
                </c:pt>
              </c:strCache>
            </c:strRef>
          </c:tx>
          <c:spPr>
            <a:solidFill>
              <a:schemeClr val="accent5">
                <a:lumMod val="60000"/>
              </a:schemeClr>
            </a:solidFill>
            <a:ln>
              <a:noFill/>
            </a:ln>
            <a:effectLst/>
          </c:spPr>
          <c:invertIfNegative val="0"/>
          <c:cat>
            <c:strRef>
              <c:f>Bandwidth!$B$32:$H$32</c:f>
              <c:strCache>
                <c:ptCount val="7"/>
                <c:pt idx="0">
                  <c:v>Current Typical (Baseline)</c:v>
                </c:pt>
                <c:pt idx="1">
                  <c:v>State of the Art</c:v>
                </c:pt>
                <c:pt idx="2">
                  <c:v>Practical Minimum</c:v>
                </c:pt>
                <c:pt idx="3">
                  <c:v>Theoretical Minimum</c:v>
                </c:pt>
                <c:pt idx="4">
                  <c:v>State of the Art</c:v>
                </c:pt>
                <c:pt idx="5">
                  <c:v>Practical Minimum</c:v>
                </c:pt>
                <c:pt idx="6">
                  <c:v>Theoretical Minimum</c:v>
                </c:pt>
              </c:strCache>
            </c:strRef>
          </c:cat>
          <c:val>
            <c:numRef>
              <c:f>Bandwidth!$B$43:$H$43</c:f>
              <c:numCache>
                <c:formatCode>0.00</c:formatCode>
                <c:ptCount val="7"/>
                <c:pt idx="0">
                  <c:v>1.0583449275972416</c:v>
                </c:pt>
                <c:pt idx="1">
                  <c:v>0.80877431095444985</c:v>
                </c:pt>
                <c:pt idx="2">
                  <c:v>0.40438715547722481</c:v>
                </c:pt>
                <c:pt idx="3">
                  <c:v>0</c:v>
                </c:pt>
                <c:pt idx="4">
                  <c:v>0.28884796819801783</c:v>
                </c:pt>
                <c:pt idx="5">
                  <c:v>0</c:v>
                </c:pt>
                <c:pt idx="6">
                  <c:v>0</c:v>
                </c:pt>
              </c:numCache>
            </c:numRef>
          </c:val>
          <c:extLst>
            <c:ext xmlns:c16="http://schemas.microsoft.com/office/drawing/2014/chart" uri="{C3380CC4-5D6E-409C-BE32-E72D297353CC}">
              <c16:uniqueId val="{0000000B-9332-744F-9895-3EEB8A156256}"/>
            </c:ext>
          </c:extLst>
        </c:ser>
        <c:ser>
          <c:idx val="11"/>
          <c:order val="11"/>
          <c:tx>
            <c:strRef>
              <c:f>Bandwidth!$A$44</c:f>
              <c:strCache>
                <c:ptCount val="1"/>
                <c:pt idx="0">
                  <c:v>ABS</c:v>
                </c:pt>
              </c:strCache>
            </c:strRef>
          </c:tx>
          <c:spPr>
            <a:solidFill>
              <a:schemeClr val="accent6">
                <a:lumMod val="60000"/>
              </a:schemeClr>
            </a:solidFill>
            <a:ln>
              <a:noFill/>
            </a:ln>
            <a:effectLst/>
          </c:spPr>
          <c:invertIfNegative val="0"/>
          <c:cat>
            <c:strRef>
              <c:f>Bandwidth!$B$32:$H$32</c:f>
              <c:strCache>
                <c:ptCount val="7"/>
                <c:pt idx="0">
                  <c:v>Current Typical (Baseline)</c:v>
                </c:pt>
                <c:pt idx="1">
                  <c:v>State of the Art</c:v>
                </c:pt>
                <c:pt idx="2">
                  <c:v>Practical Minimum</c:v>
                </c:pt>
                <c:pt idx="3">
                  <c:v>Theoretical Minimum</c:v>
                </c:pt>
                <c:pt idx="4">
                  <c:v>State of the Art</c:v>
                </c:pt>
                <c:pt idx="5">
                  <c:v>Practical Minimum</c:v>
                </c:pt>
                <c:pt idx="6">
                  <c:v>Theoretical Minimum</c:v>
                </c:pt>
              </c:strCache>
            </c:strRef>
          </c:cat>
          <c:val>
            <c:numRef>
              <c:f>Bandwidth!$B$44:$H$44</c:f>
              <c:numCache>
                <c:formatCode>0.00</c:formatCode>
                <c:ptCount val="7"/>
                <c:pt idx="0">
                  <c:v>0.69076283180579534</c:v>
                </c:pt>
                <c:pt idx="1">
                  <c:v>0.19616833849364052</c:v>
                </c:pt>
                <c:pt idx="2">
                  <c:v>0.19616833849364063</c:v>
                </c:pt>
                <c:pt idx="3">
                  <c:v>0</c:v>
                </c:pt>
                <c:pt idx="4">
                  <c:v>0.14712625387023046</c:v>
                </c:pt>
                <c:pt idx="5">
                  <c:v>9.8084169246820258E-2</c:v>
                </c:pt>
                <c:pt idx="6">
                  <c:v>0</c:v>
                </c:pt>
              </c:numCache>
            </c:numRef>
          </c:val>
          <c:extLst>
            <c:ext xmlns:c16="http://schemas.microsoft.com/office/drawing/2014/chart" uri="{C3380CC4-5D6E-409C-BE32-E72D297353CC}">
              <c16:uniqueId val="{0000000C-9332-744F-9895-3EEB8A156256}"/>
            </c:ext>
          </c:extLst>
        </c:ser>
        <c:ser>
          <c:idx val="12"/>
          <c:order val="12"/>
          <c:tx>
            <c:strRef>
              <c:f>Bandwidth!$A$45</c:f>
              <c:strCache>
                <c:ptCount val="1"/>
                <c:pt idx="0">
                  <c:v>Polyamide nylon</c:v>
                </c:pt>
              </c:strCache>
            </c:strRef>
          </c:tx>
          <c:spPr>
            <a:solidFill>
              <a:schemeClr val="accent1">
                <a:lumMod val="80000"/>
                <a:lumOff val="20000"/>
              </a:schemeClr>
            </a:solidFill>
            <a:ln>
              <a:noFill/>
            </a:ln>
            <a:effectLst/>
          </c:spPr>
          <c:invertIfNegative val="0"/>
          <c:cat>
            <c:strRef>
              <c:f>Bandwidth!$B$32:$H$32</c:f>
              <c:strCache>
                <c:ptCount val="7"/>
                <c:pt idx="0">
                  <c:v>Current Typical (Baseline)</c:v>
                </c:pt>
                <c:pt idx="1">
                  <c:v>State of the Art</c:v>
                </c:pt>
                <c:pt idx="2">
                  <c:v>Practical Minimum</c:v>
                </c:pt>
                <c:pt idx="3">
                  <c:v>Theoretical Minimum</c:v>
                </c:pt>
                <c:pt idx="4">
                  <c:v>State of the Art</c:v>
                </c:pt>
                <c:pt idx="5">
                  <c:v>Practical Minimum</c:v>
                </c:pt>
                <c:pt idx="6">
                  <c:v>Theoretical Minimum</c:v>
                </c:pt>
              </c:strCache>
            </c:strRef>
          </c:cat>
          <c:val>
            <c:numRef>
              <c:f>Bandwidth!$B$45:$H$45</c:f>
              <c:numCache>
                <c:formatCode>0.00</c:formatCode>
                <c:ptCount val="7"/>
                <c:pt idx="0">
                  <c:v>0.54101126897570861</c:v>
                </c:pt>
                <c:pt idx="1">
                  <c:v>5.9062032326509736E-2</c:v>
                </c:pt>
                <c:pt idx="2">
                  <c:v>0</c:v>
                </c:pt>
                <c:pt idx="3">
                  <c:v>0</c:v>
                </c:pt>
                <c:pt idx="4">
                  <c:v>0</c:v>
                </c:pt>
                <c:pt idx="5">
                  <c:v>0</c:v>
                </c:pt>
                <c:pt idx="6">
                  <c:v>0</c:v>
                </c:pt>
              </c:numCache>
            </c:numRef>
          </c:val>
          <c:extLst>
            <c:ext xmlns:c16="http://schemas.microsoft.com/office/drawing/2014/chart" uri="{C3380CC4-5D6E-409C-BE32-E72D297353CC}">
              <c16:uniqueId val="{0000000D-9332-744F-9895-3EEB8A156256}"/>
            </c:ext>
          </c:extLst>
        </c:ser>
        <c:ser>
          <c:idx val="13"/>
          <c:order val="13"/>
          <c:tx>
            <c:strRef>
              <c:f>Bandwidth!$A$46</c:f>
              <c:strCache>
                <c:ptCount val="1"/>
                <c:pt idx="0">
                  <c:v>Polycarbonate</c:v>
                </c:pt>
              </c:strCache>
            </c:strRef>
          </c:tx>
          <c:spPr>
            <a:solidFill>
              <a:schemeClr val="accent2">
                <a:lumMod val="80000"/>
                <a:lumOff val="20000"/>
              </a:schemeClr>
            </a:solidFill>
            <a:ln>
              <a:noFill/>
            </a:ln>
            <a:effectLst/>
          </c:spPr>
          <c:invertIfNegative val="0"/>
          <c:cat>
            <c:strRef>
              <c:f>Bandwidth!$B$32:$H$32</c:f>
              <c:strCache>
                <c:ptCount val="7"/>
                <c:pt idx="0">
                  <c:v>Current Typical (Baseline)</c:v>
                </c:pt>
                <c:pt idx="1">
                  <c:v>State of the Art</c:v>
                </c:pt>
                <c:pt idx="2">
                  <c:v>Practical Minimum</c:v>
                </c:pt>
                <c:pt idx="3">
                  <c:v>Theoretical Minimum</c:v>
                </c:pt>
                <c:pt idx="4">
                  <c:v>State of the Art</c:v>
                </c:pt>
                <c:pt idx="5">
                  <c:v>Practical Minimum</c:v>
                </c:pt>
                <c:pt idx="6">
                  <c:v>Theoretical Minimum</c:v>
                </c:pt>
              </c:strCache>
            </c:strRef>
          </c:cat>
          <c:val>
            <c:numRef>
              <c:f>Bandwidth!$B$46:$H$46</c:f>
              <c:numCache>
                <c:formatCode>0.00</c:formatCode>
                <c:ptCount val="7"/>
                <c:pt idx="0">
                  <c:v>2.8511114742513297</c:v>
                </c:pt>
                <c:pt idx="1">
                  <c:v>0.69560073113854815</c:v>
                </c:pt>
                <c:pt idx="2">
                  <c:v>0.34780036556927446</c:v>
                </c:pt>
                <c:pt idx="3">
                  <c:v>0</c:v>
                </c:pt>
                <c:pt idx="4">
                  <c:v>0.34780036556927407</c:v>
                </c:pt>
                <c:pt idx="5">
                  <c:v>0.34780036556927446</c:v>
                </c:pt>
                <c:pt idx="6">
                  <c:v>0</c:v>
                </c:pt>
              </c:numCache>
            </c:numRef>
          </c:val>
          <c:extLst>
            <c:ext xmlns:c16="http://schemas.microsoft.com/office/drawing/2014/chart" uri="{C3380CC4-5D6E-409C-BE32-E72D297353CC}">
              <c16:uniqueId val="{0000000E-9332-744F-9895-3EEB8A156256}"/>
            </c:ext>
          </c:extLst>
        </c:ser>
        <c:ser>
          <c:idx val="14"/>
          <c:order val="14"/>
          <c:tx>
            <c:strRef>
              <c:f>Bandwidth!$A$47</c:f>
              <c:strCache>
                <c:ptCount val="1"/>
                <c:pt idx="0">
                  <c:v>Styrene butadiene rubber</c:v>
                </c:pt>
              </c:strCache>
            </c:strRef>
          </c:tx>
          <c:spPr>
            <a:solidFill>
              <a:schemeClr val="accent3">
                <a:lumMod val="80000"/>
                <a:lumOff val="20000"/>
              </a:schemeClr>
            </a:solidFill>
            <a:ln>
              <a:noFill/>
            </a:ln>
            <a:effectLst/>
          </c:spPr>
          <c:invertIfNegative val="0"/>
          <c:cat>
            <c:strRef>
              <c:f>Bandwidth!$B$32:$H$32</c:f>
              <c:strCache>
                <c:ptCount val="7"/>
                <c:pt idx="0">
                  <c:v>Current Typical (Baseline)</c:v>
                </c:pt>
                <c:pt idx="1">
                  <c:v>State of the Art</c:v>
                </c:pt>
                <c:pt idx="2">
                  <c:v>Practical Minimum</c:v>
                </c:pt>
                <c:pt idx="3">
                  <c:v>Theoretical Minimum</c:v>
                </c:pt>
                <c:pt idx="4">
                  <c:v>State of the Art</c:v>
                </c:pt>
                <c:pt idx="5">
                  <c:v>Practical Minimum</c:v>
                </c:pt>
                <c:pt idx="6">
                  <c:v>Theoretical Minimum</c:v>
                </c:pt>
              </c:strCache>
            </c:strRef>
          </c:cat>
          <c:val>
            <c:numRef>
              <c:f>Bandwidth!$B$47:$H$47</c:f>
              <c:numCache>
                <c:formatCode>0.00</c:formatCode>
                <c:ptCount val="7"/>
                <c:pt idx="0">
                  <c:v>0.30528040243506777</c:v>
                </c:pt>
                <c:pt idx="1">
                  <c:v>0.16865535904890397</c:v>
                </c:pt>
                <c:pt idx="2">
                  <c:v>0.16865535904890397</c:v>
                </c:pt>
                <c:pt idx="3">
                  <c:v>0</c:v>
                </c:pt>
                <c:pt idx="4">
                  <c:v>0.17220599818677562</c:v>
                </c:pt>
                <c:pt idx="5">
                  <c:v>8.3440019739984064E-2</c:v>
                </c:pt>
                <c:pt idx="6">
                  <c:v>0</c:v>
                </c:pt>
              </c:numCache>
            </c:numRef>
          </c:val>
          <c:extLst>
            <c:ext xmlns:c16="http://schemas.microsoft.com/office/drawing/2014/chart" uri="{C3380CC4-5D6E-409C-BE32-E72D297353CC}">
              <c16:uniqueId val="{0000000F-9332-744F-9895-3EEB8A156256}"/>
            </c:ext>
          </c:extLst>
        </c:ser>
        <c:dLbls>
          <c:showLegendKey val="0"/>
          <c:showVal val="0"/>
          <c:showCatName val="0"/>
          <c:showSerName val="0"/>
          <c:showPercent val="0"/>
          <c:showBubbleSize val="0"/>
        </c:dLbls>
        <c:gapWidth val="150"/>
        <c:overlap val="100"/>
        <c:axId val="1675890639"/>
        <c:axId val="1675892783"/>
      </c:barChart>
      <c:catAx>
        <c:axId val="16758906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1675892783"/>
        <c:crosses val="autoZero"/>
        <c:auto val="1"/>
        <c:lblAlgn val="ctr"/>
        <c:lblOffset val="100"/>
        <c:noMultiLvlLbl val="0"/>
      </c:catAx>
      <c:valAx>
        <c:axId val="1675892783"/>
        <c:scaling>
          <c:orientation val="minMax"/>
          <c:max val="45"/>
        </c:scaling>
        <c:delete val="0"/>
        <c:axPos val="l"/>
        <c:title>
          <c:tx>
            <c:rich>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r>
                  <a:rPr lang="en-US" sz="1100"/>
                  <a:t>MMT Landfilled Annually</a:t>
                </a:r>
              </a:p>
            </c:rich>
          </c:tx>
          <c:overlay val="0"/>
          <c:spPr>
            <a:noFill/>
            <a:ln>
              <a:noFill/>
            </a:ln>
            <a:effectLst/>
          </c:spPr>
          <c:txPr>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589063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0"/>
          <c:order val="0"/>
          <c:tx>
            <c:strRef>
              <c:f>Bandwidth!$A$57</c:f>
              <c:strCache>
                <c:ptCount val="1"/>
                <c:pt idx="0">
                  <c:v>Polyurethane</c:v>
                </c:pt>
              </c:strCache>
            </c:strRef>
          </c:tx>
          <c:spPr>
            <a:solidFill>
              <a:schemeClr val="accent1"/>
            </a:solidFill>
            <a:ln>
              <a:noFill/>
            </a:ln>
            <a:effectLst/>
          </c:spPr>
          <c:invertIfNegative val="0"/>
          <c:cat>
            <c:strRef>
              <c:f>Bandwidth!$B$56:$H$56</c:f>
              <c:strCache>
                <c:ptCount val="7"/>
                <c:pt idx="0">
                  <c:v>Current Baseline</c:v>
                </c:pt>
                <c:pt idx="1">
                  <c:v>State of the Art</c:v>
                </c:pt>
                <c:pt idx="2">
                  <c:v>Practical Maximum</c:v>
                </c:pt>
                <c:pt idx="3">
                  <c:v>Theoretical Maximum</c:v>
                </c:pt>
                <c:pt idx="4">
                  <c:v>State of the Art</c:v>
                </c:pt>
                <c:pt idx="5">
                  <c:v>Practical Maximum</c:v>
                </c:pt>
                <c:pt idx="6">
                  <c:v>Theoretical Maximum</c:v>
                </c:pt>
              </c:strCache>
            </c:strRef>
          </c:cat>
          <c:val>
            <c:numRef>
              <c:f>Bandwidth!$B$57:$H$57</c:f>
              <c:numCache>
                <c:formatCode>0.00</c:formatCode>
                <c:ptCount val="7"/>
                <c:pt idx="0">
                  <c:v>1.4605624041391865</c:v>
                </c:pt>
                <c:pt idx="1">
                  <c:v>16.293527113748819</c:v>
                </c:pt>
                <c:pt idx="2">
                  <c:v>20.366908892186029</c:v>
                </c:pt>
                <c:pt idx="3">
                  <c:v>20.366908892186029</c:v>
                </c:pt>
                <c:pt idx="4">
                  <c:v>20.366908892186025</c:v>
                </c:pt>
                <c:pt idx="5">
                  <c:v>20.366908892186029</c:v>
                </c:pt>
                <c:pt idx="6">
                  <c:v>20.366908892186025</c:v>
                </c:pt>
              </c:numCache>
            </c:numRef>
          </c:val>
          <c:extLst>
            <c:ext xmlns:c16="http://schemas.microsoft.com/office/drawing/2014/chart" uri="{C3380CC4-5D6E-409C-BE32-E72D297353CC}">
              <c16:uniqueId val="{00000000-E534-BD47-9436-5D5B745E40AD}"/>
            </c:ext>
          </c:extLst>
        </c:ser>
        <c:ser>
          <c:idx val="1"/>
          <c:order val="1"/>
          <c:tx>
            <c:strRef>
              <c:f>Bandwidth!$A$58</c:f>
              <c:strCache>
                <c:ptCount val="1"/>
                <c:pt idx="0">
                  <c:v>Other thermosets</c:v>
                </c:pt>
              </c:strCache>
            </c:strRef>
          </c:tx>
          <c:spPr>
            <a:solidFill>
              <a:schemeClr val="accent2"/>
            </a:solidFill>
            <a:ln>
              <a:noFill/>
            </a:ln>
            <a:effectLst/>
          </c:spPr>
          <c:invertIfNegative val="0"/>
          <c:cat>
            <c:strRef>
              <c:f>Bandwidth!$B$56:$H$56</c:f>
              <c:strCache>
                <c:ptCount val="7"/>
                <c:pt idx="0">
                  <c:v>Current Baseline</c:v>
                </c:pt>
                <c:pt idx="1">
                  <c:v>State of the Art</c:v>
                </c:pt>
                <c:pt idx="2">
                  <c:v>Practical Maximum</c:v>
                </c:pt>
                <c:pt idx="3">
                  <c:v>Theoretical Maximum</c:v>
                </c:pt>
                <c:pt idx="4">
                  <c:v>State of the Art</c:v>
                </c:pt>
                <c:pt idx="5">
                  <c:v>Practical Maximum</c:v>
                </c:pt>
                <c:pt idx="6">
                  <c:v>Theoretical Maximum</c:v>
                </c:pt>
              </c:strCache>
            </c:strRef>
          </c:cat>
          <c:val>
            <c:numRef>
              <c:f>Bandwidth!$B$58:$H$58</c:f>
              <c:numCache>
                <c:formatCode>0.00</c:formatCode>
                <c:ptCount val="7"/>
                <c:pt idx="0">
                  <c:v>0.13628684864371868</c:v>
                </c:pt>
                <c:pt idx="1">
                  <c:v>0</c:v>
                </c:pt>
                <c:pt idx="2">
                  <c:v>0</c:v>
                </c:pt>
                <c:pt idx="3">
                  <c:v>0</c:v>
                </c:pt>
                <c:pt idx="4">
                  <c:v>1.1402765763366502</c:v>
                </c:pt>
                <c:pt idx="5">
                  <c:v>1.6153918164769214</c:v>
                </c:pt>
                <c:pt idx="6">
                  <c:v>1.9004609605610838</c:v>
                </c:pt>
              </c:numCache>
            </c:numRef>
          </c:val>
          <c:extLst>
            <c:ext xmlns:c16="http://schemas.microsoft.com/office/drawing/2014/chart" uri="{C3380CC4-5D6E-409C-BE32-E72D297353CC}">
              <c16:uniqueId val="{00000001-E534-BD47-9436-5D5B745E40AD}"/>
            </c:ext>
          </c:extLst>
        </c:ser>
        <c:ser>
          <c:idx val="2"/>
          <c:order val="2"/>
          <c:tx>
            <c:strRef>
              <c:f>Bandwidth!$A$59</c:f>
              <c:strCache>
                <c:ptCount val="1"/>
                <c:pt idx="0">
                  <c:v>LDPE</c:v>
                </c:pt>
              </c:strCache>
            </c:strRef>
          </c:tx>
          <c:spPr>
            <a:solidFill>
              <a:schemeClr val="accent3"/>
            </a:solidFill>
            <a:ln>
              <a:noFill/>
            </a:ln>
            <a:effectLst/>
          </c:spPr>
          <c:invertIfNegative val="0"/>
          <c:cat>
            <c:strRef>
              <c:f>Bandwidth!$B$56:$H$56</c:f>
              <c:strCache>
                <c:ptCount val="7"/>
                <c:pt idx="0">
                  <c:v>Current Baseline</c:v>
                </c:pt>
                <c:pt idx="1">
                  <c:v>State of the Art</c:v>
                </c:pt>
                <c:pt idx="2">
                  <c:v>Practical Maximum</c:v>
                </c:pt>
                <c:pt idx="3">
                  <c:v>Theoretical Maximum</c:v>
                </c:pt>
                <c:pt idx="4">
                  <c:v>State of the Art</c:v>
                </c:pt>
                <c:pt idx="5">
                  <c:v>Practical Maximum</c:v>
                </c:pt>
                <c:pt idx="6">
                  <c:v>Theoretical Maximum</c:v>
                </c:pt>
              </c:strCache>
            </c:strRef>
          </c:cat>
          <c:val>
            <c:numRef>
              <c:f>Bandwidth!$B$59:$H$59</c:f>
              <c:numCache>
                <c:formatCode>0.00</c:formatCode>
                <c:ptCount val="7"/>
                <c:pt idx="0">
                  <c:v>9.0143106420287389E-2</c:v>
                </c:pt>
                <c:pt idx="1">
                  <c:v>0.29046571732803539</c:v>
                </c:pt>
                <c:pt idx="2">
                  <c:v>0.38728762310404719</c:v>
                </c:pt>
                <c:pt idx="3">
                  <c:v>0.48410952888005898</c:v>
                </c:pt>
                <c:pt idx="4">
                  <c:v>1.0650409635361298</c:v>
                </c:pt>
                <c:pt idx="5">
                  <c:v>1.6459723981922008</c:v>
                </c:pt>
                <c:pt idx="6">
                  <c:v>1.9364381155202359</c:v>
                </c:pt>
              </c:numCache>
            </c:numRef>
          </c:val>
          <c:extLst>
            <c:ext xmlns:c16="http://schemas.microsoft.com/office/drawing/2014/chart" uri="{C3380CC4-5D6E-409C-BE32-E72D297353CC}">
              <c16:uniqueId val="{00000002-E534-BD47-9436-5D5B745E40AD}"/>
            </c:ext>
          </c:extLst>
        </c:ser>
        <c:ser>
          <c:idx val="3"/>
          <c:order val="3"/>
          <c:tx>
            <c:strRef>
              <c:f>Bandwidth!$A$60</c:f>
              <c:strCache>
                <c:ptCount val="1"/>
                <c:pt idx="0">
                  <c:v>LLDPE</c:v>
                </c:pt>
              </c:strCache>
            </c:strRef>
          </c:tx>
          <c:spPr>
            <a:solidFill>
              <a:schemeClr val="accent4"/>
            </a:solidFill>
            <a:ln>
              <a:noFill/>
            </a:ln>
            <a:effectLst/>
          </c:spPr>
          <c:invertIfNegative val="0"/>
          <c:cat>
            <c:strRef>
              <c:f>Bandwidth!$B$56:$H$56</c:f>
              <c:strCache>
                <c:ptCount val="7"/>
                <c:pt idx="0">
                  <c:v>Current Baseline</c:v>
                </c:pt>
                <c:pt idx="1">
                  <c:v>State of the Art</c:v>
                </c:pt>
                <c:pt idx="2">
                  <c:v>Practical Maximum</c:v>
                </c:pt>
                <c:pt idx="3">
                  <c:v>Theoretical Maximum</c:v>
                </c:pt>
                <c:pt idx="4">
                  <c:v>State of the Art</c:v>
                </c:pt>
                <c:pt idx="5">
                  <c:v>Practical Maximum</c:v>
                </c:pt>
                <c:pt idx="6">
                  <c:v>Theoretical Maximum</c:v>
                </c:pt>
              </c:strCache>
            </c:strRef>
          </c:cat>
          <c:val>
            <c:numRef>
              <c:f>Bandwidth!$B$60:$H$60</c:f>
              <c:numCache>
                <c:formatCode>0.00</c:formatCode>
                <c:ptCount val="7"/>
                <c:pt idx="0">
                  <c:v>7.8218993517413515E-2</c:v>
                </c:pt>
                <c:pt idx="1">
                  <c:v>0.2520429677093885</c:v>
                </c:pt>
                <c:pt idx="2">
                  <c:v>0.33605729027918468</c:v>
                </c:pt>
                <c:pt idx="3">
                  <c:v>0.42007161284898081</c:v>
                </c:pt>
                <c:pt idx="4">
                  <c:v>0.67211458055836937</c:v>
                </c:pt>
                <c:pt idx="5">
                  <c:v>1.3442291611167387</c:v>
                </c:pt>
                <c:pt idx="6">
                  <c:v>1.6802864513959233</c:v>
                </c:pt>
              </c:numCache>
            </c:numRef>
          </c:val>
          <c:extLst>
            <c:ext xmlns:c16="http://schemas.microsoft.com/office/drawing/2014/chart" uri="{C3380CC4-5D6E-409C-BE32-E72D297353CC}">
              <c16:uniqueId val="{00000003-E534-BD47-9436-5D5B745E40AD}"/>
            </c:ext>
          </c:extLst>
        </c:ser>
        <c:ser>
          <c:idx val="4"/>
          <c:order val="4"/>
          <c:tx>
            <c:strRef>
              <c:f>Bandwidth!$A$61</c:f>
              <c:strCache>
                <c:ptCount val="1"/>
                <c:pt idx="0">
                  <c:v>HDPE</c:v>
                </c:pt>
              </c:strCache>
            </c:strRef>
          </c:tx>
          <c:spPr>
            <a:solidFill>
              <a:schemeClr val="accent5"/>
            </a:solidFill>
            <a:ln>
              <a:noFill/>
            </a:ln>
            <a:effectLst/>
          </c:spPr>
          <c:invertIfNegative val="0"/>
          <c:cat>
            <c:strRef>
              <c:f>Bandwidth!$B$56:$H$56</c:f>
              <c:strCache>
                <c:ptCount val="7"/>
                <c:pt idx="0">
                  <c:v>Current Baseline</c:v>
                </c:pt>
                <c:pt idx="1">
                  <c:v>State of the Art</c:v>
                </c:pt>
                <c:pt idx="2">
                  <c:v>Practical Maximum</c:v>
                </c:pt>
                <c:pt idx="3">
                  <c:v>Theoretical Maximum</c:v>
                </c:pt>
                <c:pt idx="4">
                  <c:v>State of the Art</c:v>
                </c:pt>
                <c:pt idx="5">
                  <c:v>Practical Maximum</c:v>
                </c:pt>
                <c:pt idx="6">
                  <c:v>Theoretical Maximum</c:v>
                </c:pt>
              </c:strCache>
            </c:strRef>
          </c:cat>
          <c:val>
            <c:numRef>
              <c:f>Bandwidth!$B$61:$H$61</c:f>
              <c:numCache>
                <c:formatCode>0.00</c:formatCode>
                <c:ptCount val="7"/>
                <c:pt idx="0">
                  <c:v>0.18426848892856054</c:v>
                </c:pt>
                <c:pt idx="1">
                  <c:v>2.1148190559321778</c:v>
                </c:pt>
                <c:pt idx="2">
                  <c:v>2.1148190559321778</c:v>
                </c:pt>
                <c:pt idx="3">
                  <c:v>2.1148190559321778</c:v>
                </c:pt>
                <c:pt idx="4">
                  <c:v>2.1148190559321778</c:v>
                </c:pt>
                <c:pt idx="5">
                  <c:v>2.3497989510357531</c:v>
                </c:pt>
                <c:pt idx="6">
                  <c:v>2.3497989510357531</c:v>
                </c:pt>
              </c:numCache>
            </c:numRef>
          </c:val>
          <c:extLst>
            <c:ext xmlns:c16="http://schemas.microsoft.com/office/drawing/2014/chart" uri="{C3380CC4-5D6E-409C-BE32-E72D297353CC}">
              <c16:uniqueId val="{00000004-E534-BD47-9436-5D5B745E40AD}"/>
            </c:ext>
          </c:extLst>
        </c:ser>
        <c:ser>
          <c:idx val="5"/>
          <c:order val="5"/>
          <c:tx>
            <c:strRef>
              <c:f>Bandwidth!$A$62</c:f>
              <c:strCache>
                <c:ptCount val="1"/>
                <c:pt idx="0">
                  <c:v>PP</c:v>
                </c:pt>
              </c:strCache>
            </c:strRef>
          </c:tx>
          <c:spPr>
            <a:solidFill>
              <a:schemeClr val="accent6"/>
            </a:solidFill>
            <a:ln>
              <a:noFill/>
            </a:ln>
            <a:effectLst/>
          </c:spPr>
          <c:invertIfNegative val="0"/>
          <c:cat>
            <c:strRef>
              <c:f>Bandwidth!$B$56:$H$56</c:f>
              <c:strCache>
                <c:ptCount val="7"/>
                <c:pt idx="0">
                  <c:v>Current Baseline</c:v>
                </c:pt>
                <c:pt idx="1">
                  <c:v>State of the Art</c:v>
                </c:pt>
                <c:pt idx="2">
                  <c:v>Practical Maximum</c:v>
                </c:pt>
                <c:pt idx="3">
                  <c:v>Theoretical Maximum</c:v>
                </c:pt>
                <c:pt idx="4">
                  <c:v>State of the Art</c:v>
                </c:pt>
                <c:pt idx="5">
                  <c:v>Practical Maximum</c:v>
                </c:pt>
                <c:pt idx="6">
                  <c:v>Theoretical Maximum</c:v>
                </c:pt>
              </c:strCache>
            </c:strRef>
          </c:cat>
          <c:val>
            <c:numRef>
              <c:f>Bandwidth!$B$62:$H$62</c:f>
              <c:numCache>
                <c:formatCode>0.00</c:formatCode>
                <c:ptCount val="7"/>
                <c:pt idx="0">
                  <c:v>0</c:v>
                </c:pt>
                <c:pt idx="1">
                  <c:v>0.72300585613166712</c:v>
                </c:pt>
                <c:pt idx="2">
                  <c:v>1.0845087841975007</c:v>
                </c:pt>
                <c:pt idx="3">
                  <c:v>1.1748845162139592</c:v>
                </c:pt>
                <c:pt idx="4">
                  <c:v>1.0845087841975007</c:v>
                </c:pt>
                <c:pt idx="5">
                  <c:v>1.807514640329168</c:v>
                </c:pt>
                <c:pt idx="6">
                  <c:v>1.807514640329168</c:v>
                </c:pt>
              </c:numCache>
            </c:numRef>
          </c:val>
          <c:extLst>
            <c:ext xmlns:c16="http://schemas.microsoft.com/office/drawing/2014/chart" uri="{C3380CC4-5D6E-409C-BE32-E72D297353CC}">
              <c16:uniqueId val="{00000005-E534-BD47-9436-5D5B745E40AD}"/>
            </c:ext>
          </c:extLst>
        </c:ser>
        <c:ser>
          <c:idx val="6"/>
          <c:order val="6"/>
          <c:tx>
            <c:strRef>
              <c:f>Bandwidth!$A$63</c:f>
              <c:strCache>
                <c:ptCount val="1"/>
                <c:pt idx="0">
                  <c:v>PS</c:v>
                </c:pt>
              </c:strCache>
            </c:strRef>
          </c:tx>
          <c:spPr>
            <a:solidFill>
              <a:schemeClr val="accent1">
                <a:lumMod val="60000"/>
              </a:schemeClr>
            </a:solidFill>
            <a:ln>
              <a:noFill/>
            </a:ln>
            <a:effectLst/>
          </c:spPr>
          <c:invertIfNegative val="0"/>
          <c:cat>
            <c:strRef>
              <c:f>Bandwidth!$B$56:$H$56</c:f>
              <c:strCache>
                <c:ptCount val="7"/>
                <c:pt idx="0">
                  <c:v>Current Baseline</c:v>
                </c:pt>
                <c:pt idx="1">
                  <c:v>State of the Art</c:v>
                </c:pt>
                <c:pt idx="2">
                  <c:v>Practical Maximum</c:v>
                </c:pt>
                <c:pt idx="3">
                  <c:v>Theoretical Maximum</c:v>
                </c:pt>
                <c:pt idx="4">
                  <c:v>State of the Art</c:v>
                </c:pt>
                <c:pt idx="5">
                  <c:v>Practical Maximum</c:v>
                </c:pt>
                <c:pt idx="6">
                  <c:v>Theoretical Maximum</c:v>
                </c:pt>
              </c:strCache>
            </c:strRef>
          </c:cat>
          <c:val>
            <c:numRef>
              <c:f>Bandwidth!$B$63:$H$63</c:f>
              <c:numCache>
                <c:formatCode>0.00</c:formatCode>
                <c:ptCount val="7"/>
                <c:pt idx="0">
                  <c:v>1.8055670057129148E-2</c:v>
                </c:pt>
                <c:pt idx="1">
                  <c:v>0.67449703100371139</c:v>
                </c:pt>
                <c:pt idx="2">
                  <c:v>1.0117455465055671</c:v>
                </c:pt>
                <c:pt idx="3">
                  <c:v>1.0960576753810312</c:v>
                </c:pt>
                <c:pt idx="4">
                  <c:v>1.0117455465055671</c:v>
                </c:pt>
                <c:pt idx="5">
                  <c:v>1.6862425775092786</c:v>
                </c:pt>
                <c:pt idx="6">
                  <c:v>1.6862425775092786</c:v>
                </c:pt>
              </c:numCache>
            </c:numRef>
          </c:val>
          <c:extLst>
            <c:ext xmlns:c16="http://schemas.microsoft.com/office/drawing/2014/chart" uri="{C3380CC4-5D6E-409C-BE32-E72D297353CC}">
              <c16:uniqueId val="{00000006-E534-BD47-9436-5D5B745E40AD}"/>
            </c:ext>
          </c:extLst>
        </c:ser>
        <c:ser>
          <c:idx val="7"/>
          <c:order val="7"/>
          <c:tx>
            <c:strRef>
              <c:f>Bandwidth!$A$64</c:f>
              <c:strCache>
                <c:ptCount val="1"/>
                <c:pt idx="0">
                  <c:v>EPS</c:v>
                </c:pt>
              </c:strCache>
            </c:strRef>
          </c:tx>
          <c:spPr>
            <a:solidFill>
              <a:schemeClr val="accent2">
                <a:lumMod val="60000"/>
              </a:schemeClr>
            </a:solidFill>
            <a:ln>
              <a:noFill/>
            </a:ln>
            <a:effectLst/>
          </c:spPr>
          <c:invertIfNegative val="0"/>
          <c:cat>
            <c:strRef>
              <c:f>Bandwidth!$B$56:$H$56</c:f>
              <c:strCache>
                <c:ptCount val="7"/>
                <c:pt idx="0">
                  <c:v>Current Baseline</c:v>
                </c:pt>
                <c:pt idx="1">
                  <c:v>State of the Art</c:v>
                </c:pt>
                <c:pt idx="2">
                  <c:v>Practical Maximum</c:v>
                </c:pt>
                <c:pt idx="3">
                  <c:v>Theoretical Maximum</c:v>
                </c:pt>
                <c:pt idx="4">
                  <c:v>State of the Art</c:v>
                </c:pt>
                <c:pt idx="5">
                  <c:v>Practical Maximum</c:v>
                </c:pt>
                <c:pt idx="6">
                  <c:v>Theoretical Maximum</c:v>
                </c:pt>
              </c:strCache>
            </c:strRef>
          </c:cat>
          <c:val>
            <c:numRef>
              <c:f>Bandwidth!$B$64:$H$64</c:f>
              <c:numCache>
                <c:formatCode>0.00</c:formatCode>
                <c:ptCount val="7"/>
                <c:pt idx="0">
                  <c:v>1.8541159735217094E-2</c:v>
                </c:pt>
                <c:pt idx="1">
                  <c:v>0.69263323671732724</c:v>
                </c:pt>
                <c:pt idx="2">
                  <c:v>1.038949855075991</c:v>
                </c:pt>
                <c:pt idx="3">
                  <c:v>1.1255290096656569</c:v>
                </c:pt>
                <c:pt idx="4">
                  <c:v>1.038949855075991</c:v>
                </c:pt>
                <c:pt idx="5">
                  <c:v>1.7315830917933184</c:v>
                </c:pt>
                <c:pt idx="6">
                  <c:v>1.7315830917933184</c:v>
                </c:pt>
              </c:numCache>
            </c:numRef>
          </c:val>
          <c:extLst>
            <c:ext xmlns:c16="http://schemas.microsoft.com/office/drawing/2014/chart" uri="{C3380CC4-5D6E-409C-BE32-E72D297353CC}">
              <c16:uniqueId val="{00000007-E534-BD47-9436-5D5B745E40AD}"/>
            </c:ext>
          </c:extLst>
        </c:ser>
        <c:ser>
          <c:idx val="8"/>
          <c:order val="8"/>
          <c:tx>
            <c:strRef>
              <c:f>Bandwidth!$A$65</c:f>
              <c:strCache>
                <c:ptCount val="1"/>
                <c:pt idx="0">
                  <c:v>PVC</c:v>
                </c:pt>
              </c:strCache>
            </c:strRef>
          </c:tx>
          <c:spPr>
            <a:solidFill>
              <a:schemeClr val="accent3">
                <a:lumMod val="60000"/>
              </a:schemeClr>
            </a:solidFill>
            <a:ln>
              <a:noFill/>
            </a:ln>
            <a:effectLst/>
          </c:spPr>
          <c:invertIfNegative val="0"/>
          <c:cat>
            <c:strRef>
              <c:f>Bandwidth!$B$56:$H$56</c:f>
              <c:strCache>
                <c:ptCount val="7"/>
                <c:pt idx="0">
                  <c:v>Current Baseline</c:v>
                </c:pt>
                <c:pt idx="1">
                  <c:v>State of the Art</c:v>
                </c:pt>
                <c:pt idx="2">
                  <c:v>Practical Maximum</c:v>
                </c:pt>
                <c:pt idx="3">
                  <c:v>Theoretical Maximum</c:v>
                </c:pt>
                <c:pt idx="4">
                  <c:v>State of the Art</c:v>
                </c:pt>
                <c:pt idx="5">
                  <c:v>Practical Maximum</c:v>
                </c:pt>
                <c:pt idx="6">
                  <c:v>Theoretical Maximum</c:v>
                </c:pt>
              </c:strCache>
            </c:strRef>
          </c:cat>
          <c:val>
            <c:numRef>
              <c:f>Bandwidth!$B$65:$H$65</c:f>
              <c:numCache>
                <c:formatCode>0.00</c:formatCode>
                <c:ptCount val="7"/>
                <c:pt idx="0">
                  <c:v>0</c:v>
                </c:pt>
                <c:pt idx="1">
                  <c:v>8.8592339671642623E-2</c:v>
                </c:pt>
                <c:pt idx="2">
                  <c:v>0.88592339671642617</c:v>
                </c:pt>
                <c:pt idx="3">
                  <c:v>1.7718467934328523</c:v>
                </c:pt>
                <c:pt idx="4">
                  <c:v>0.88592339671642617</c:v>
                </c:pt>
                <c:pt idx="5">
                  <c:v>1.151700415731354</c:v>
                </c:pt>
                <c:pt idx="6">
                  <c:v>1.7718467934328523</c:v>
                </c:pt>
              </c:numCache>
            </c:numRef>
          </c:val>
          <c:extLst>
            <c:ext xmlns:c16="http://schemas.microsoft.com/office/drawing/2014/chart" uri="{C3380CC4-5D6E-409C-BE32-E72D297353CC}">
              <c16:uniqueId val="{00000008-E534-BD47-9436-5D5B745E40AD}"/>
            </c:ext>
          </c:extLst>
        </c:ser>
        <c:ser>
          <c:idx val="9"/>
          <c:order val="9"/>
          <c:tx>
            <c:strRef>
              <c:f>Bandwidth!$A$66</c:f>
              <c:strCache>
                <c:ptCount val="1"/>
                <c:pt idx="0">
                  <c:v>PET</c:v>
                </c:pt>
              </c:strCache>
            </c:strRef>
          </c:tx>
          <c:spPr>
            <a:solidFill>
              <a:schemeClr val="accent4">
                <a:lumMod val="60000"/>
              </a:schemeClr>
            </a:solidFill>
            <a:ln>
              <a:noFill/>
            </a:ln>
            <a:effectLst/>
          </c:spPr>
          <c:invertIfNegative val="0"/>
          <c:cat>
            <c:strRef>
              <c:f>Bandwidth!$B$56:$H$56</c:f>
              <c:strCache>
                <c:ptCount val="7"/>
                <c:pt idx="0">
                  <c:v>Current Baseline</c:v>
                </c:pt>
                <c:pt idx="1">
                  <c:v>State of the Art</c:v>
                </c:pt>
                <c:pt idx="2">
                  <c:v>Practical Maximum</c:v>
                </c:pt>
                <c:pt idx="3">
                  <c:v>Theoretical Maximum</c:v>
                </c:pt>
                <c:pt idx="4">
                  <c:v>State of the Art</c:v>
                </c:pt>
                <c:pt idx="5">
                  <c:v>Practical Maximum</c:v>
                </c:pt>
                <c:pt idx="6">
                  <c:v>Theoretical Maximum</c:v>
                </c:pt>
              </c:strCache>
            </c:strRef>
          </c:cat>
          <c:val>
            <c:numRef>
              <c:f>Bandwidth!$B$66:$H$66</c:f>
              <c:numCache>
                <c:formatCode>0.00</c:formatCode>
                <c:ptCount val="7"/>
                <c:pt idx="0">
                  <c:v>0.3996841989269615</c:v>
                </c:pt>
                <c:pt idx="1">
                  <c:v>3.8138937580082017</c:v>
                </c:pt>
                <c:pt idx="2">
                  <c:v>3.8138937580082017</c:v>
                </c:pt>
                <c:pt idx="3">
                  <c:v>3.8138937580082017</c:v>
                </c:pt>
                <c:pt idx="4">
                  <c:v>3.8138937580082017</c:v>
                </c:pt>
                <c:pt idx="5">
                  <c:v>3.8138937580082017</c:v>
                </c:pt>
                <c:pt idx="6">
                  <c:v>3.8138937580082017</c:v>
                </c:pt>
              </c:numCache>
            </c:numRef>
          </c:val>
          <c:extLst>
            <c:ext xmlns:c16="http://schemas.microsoft.com/office/drawing/2014/chart" uri="{C3380CC4-5D6E-409C-BE32-E72D297353CC}">
              <c16:uniqueId val="{00000009-E534-BD47-9436-5D5B745E40AD}"/>
            </c:ext>
          </c:extLst>
        </c:ser>
        <c:ser>
          <c:idx val="10"/>
          <c:order val="10"/>
          <c:tx>
            <c:strRef>
              <c:f>Bandwidth!$A$67</c:f>
              <c:strCache>
                <c:ptCount val="1"/>
                <c:pt idx="0">
                  <c:v>Polyester fiber</c:v>
                </c:pt>
              </c:strCache>
            </c:strRef>
          </c:tx>
          <c:spPr>
            <a:solidFill>
              <a:schemeClr val="accent5">
                <a:lumMod val="60000"/>
              </a:schemeClr>
            </a:solidFill>
            <a:ln>
              <a:noFill/>
            </a:ln>
            <a:effectLst/>
          </c:spPr>
          <c:invertIfNegative val="0"/>
          <c:cat>
            <c:strRef>
              <c:f>Bandwidth!$B$56:$H$56</c:f>
              <c:strCache>
                <c:ptCount val="7"/>
                <c:pt idx="0">
                  <c:v>Current Baseline</c:v>
                </c:pt>
                <c:pt idx="1">
                  <c:v>State of the Art</c:v>
                </c:pt>
                <c:pt idx="2">
                  <c:v>Practical Maximum</c:v>
                </c:pt>
                <c:pt idx="3">
                  <c:v>Theoretical Maximum</c:v>
                </c:pt>
                <c:pt idx="4">
                  <c:v>State of the Art</c:v>
                </c:pt>
                <c:pt idx="5">
                  <c:v>Practical Maximum</c:v>
                </c:pt>
                <c:pt idx="6">
                  <c:v>Theoretical Maximum</c:v>
                </c:pt>
              </c:strCache>
            </c:strRef>
          </c:cat>
          <c:val>
            <c:numRef>
              <c:f>Bandwidth!$B$67:$H$67</c:f>
              <c:numCache>
                <c:formatCode>0.00</c:formatCode>
                <c:ptCount val="7"/>
                <c:pt idx="0">
                  <c:v>0</c:v>
                </c:pt>
                <c:pt idx="1">
                  <c:v>0.23107837455841429</c:v>
                </c:pt>
                <c:pt idx="2">
                  <c:v>0.69323512367524287</c:v>
                </c:pt>
                <c:pt idx="3">
                  <c:v>1.1553918727920711</c:v>
                </c:pt>
                <c:pt idx="4">
                  <c:v>0.75100471731484642</c:v>
                </c:pt>
                <c:pt idx="5">
                  <c:v>1.1553918727920713</c:v>
                </c:pt>
                <c:pt idx="6">
                  <c:v>1.1553918727920713</c:v>
                </c:pt>
              </c:numCache>
            </c:numRef>
          </c:val>
          <c:extLst>
            <c:ext xmlns:c16="http://schemas.microsoft.com/office/drawing/2014/chart" uri="{C3380CC4-5D6E-409C-BE32-E72D297353CC}">
              <c16:uniqueId val="{0000000A-E534-BD47-9436-5D5B745E40AD}"/>
            </c:ext>
          </c:extLst>
        </c:ser>
        <c:ser>
          <c:idx val="11"/>
          <c:order val="11"/>
          <c:tx>
            <c:strRef>
              <c:f>Bandwidth!$A$68</c:f>
              <c:strCache>
                <c:ptCount val="1"/>
                <c:pt idx="0">
                  <c:v>ABS</c:v>
                </c:pt>
              </c:strCache>
            </c:strRef>
          </c:tx>
          <c:spPr>
            <a:solidFill>
              <a:schemeClr val="accent6">
                <a:lumMod val="60000"/>
              </a:schemeClr>
            </a:solidFill>
            <a:ln>
              <a:noFill/>
            </a:ln>
            <a:effectLst/>
          </c:spPr>
          <c:invertIfNegative val="0"/>
          <c:cat>
            <c:strRef>
              <c:f>Bandwidth!$B$56:$H$56</c:f>
              <c:strCache>
                <c:ptCount val="7"/>
                <c:pt idx="0">
                  <c:v>Current Baseline</c:v>
                </c:pt>
                <c:pt idx="1">
                  <c:v>State of the Art</c:v>
                </c:pt>
                <c:pt idx="2">
                  <c:v>Practical Maximum</c:v>
                </c:pt>
                <c:pt idx="3">
                  <c:v>Theoretical Maximum</c:v>
                </c:pt>
                <c:pt idx="4">
                  <c:v>State of the Art</c:v>
                </c:pt>
                <c:pt idx="5">
                  <c:v>Practical Maximum</c:v>
                </c:pt>
                <c:pt idx="6">
                  <c:v>Theoretical Maximum</c:v>
                </c:pt>
              </c:strCache>
            </c:strRef>
          </c:cat>
          <c:val>
            <c:numRef>
              <c:f>Bandwidth!$B$68:$H$68</c:f>
              <c:numCache>
                <c:formatCode>0.00</c:formatCode>
                <c:ptCount val="7"/>
                <c:pt idx="0">
                  <c:v>0</c:v>
                </c:pt>
                <c:pt idx="1">
                  <c:v>0.78467335397456228</c:v>
                </c:pt>
                <c:pt idx="2">
                  <c:v>0.686589184727742</c:v>
                </c:pt>
                <c:pt idx="3">
                  <c:v>0.98084169246820285</c:v>
                </c:pt>
                <c:pt idx="4">
                  <c:v>0.83371543859797237</c:v>
                </c:pt>
                <c:pt idx="5">
                  <c:v>0.88275752322138257</c:v>
                </c:pt>
                <c:pt idx="6">
                  <c:v>0.98084169246820285</c:v>
                </c:pt>
              </c:numCache>
            </c:numRef>
          </c:val>
          <c:extLst>
            <c:ext xmlns:c16="http://schemas.microsoft.com/office/drawing/2014/chart" uri="{C3380CC4-5D6E-409C-BE32-E72D297353CC}">
              <c16:uniqueId val="{0000000B-E534-BD47-9436-5D5B745E40AD}"/>
            </c:ext>
          </c:extLst>
        </c:ser>
        <c:ser>
          <c:idx val="12"/>
          <c:order val="12"/>
          <c:tx>
            <c:strRef>
              <c:f>Bandwidth!$A$69</c:f>
              <c:strCache>
                <c:ptCount val="1"/>
                <c:pt idx="0">
                  <c:v>Polyamide nylon</c:v>
                </c:pt>
              </c:strCache>
            </c:strRef>
          </c:tx>
          <c:spPr>
            <a:solidFill>
              <a:schemeClr val="accent1">
                <a:lumMod val="80000"/>
                <a:lumOff val="20000"/>
              </a:schemeClr>
            </a:solidFill>
            <a:ln>
              <a:noFill/>
            </a:ln>
            <a:effectLst/>
          </c:spPr>
          <c:invertIfNegative val="0"/>
          <c:cat>
            <c:strRef>
              <c:f>Bandwidth!$B$56:$H$56</c:f>
              <c:strCache>
                <c:ptCount val="7"/>
                <c:pt idx="0">
                  <c:v>Current Baseline</c:v>
                </c:pt>
                <c:pt idx="1">
                  <c:v>State of the Art</c:v>
                </c:pt>
                <c:pt idx="2">
                  <c:v>Practical Maximum</c:v>
                </c:pt>
                <c:pt idx="3">
                  <c:v>Theoretical Maximum</c:v>
                </c:pt>
                <c:pt idx="4">
                  <c:v>State of the Art</c:v>
                </c:pt>
                <c:pt idx="5">
                  <c:v>Practical Maximum</c:v>
                </c:pt>
                <c:pt idx="6">
                  <c:v>Theoretical Maximum</c:v>
                </c:pt>
              </c:strCache>
            </c:strRef>
          </c:cat>
          <c:val>
            <c:numRef>
              <c:f>Bandwidth!$B$69:$H$69</c:f>
              <c:numCache>
                <c:formatCode>0.00</c:formatCode>
                <c:ptCount val="7"/>
                <c:pt idx="0">
                  <c:v>0</c:v>
                </c:pt>
                <c:pt idx="1">
                  <c:v>0.472496258612078</c:v>
                </c:pt>
                <c:pt idx="2">
                  <c:v>0.53155829093858775</c:v>
                </c:pt>
                <c:pt idx="3">
                  <c:v>0.53155829093858775</c:v>
                </c:pt>
                <c:pt idx="4">
                  <c:v>0.53155829093858775</c:v>
                </c:pt>
                <c:pt idx="5">
                  <c:v>0.59062032326509739</c:v>
                </c:pt>
                <c:pt idx="6">
                  <c:v>0.5906203232650975</c:v>
                </c:pt>
              </c:numCache>
            </c:numRef>
          </c:val>
          <c:extLst>
            <c:ext xmlns:c16="http://schemas.microsoft.com/office/drawing/2014/chart" uri="{C3380CC4-5D6E-409C-BE32-E72D297353CC}">
              <c16:uniqueId val="{0000000C-E534-BD47-9436-5D5B745E40AD}"/>
            </c:ext>
          </c:extLst>
        </c:ser>
        <c:ser>
          <c:idx val="13"/>
          <c:order val="13"/>
          <c:tx>
            <c:strRef>
              <c:f>Bandwidth!$A$70</c:f>
              <c:strCache>
                <c:ptCount val="1"/>
                <c:pt idx="0">
                  <c:v>Polycarbonate</c:v>
                </c:pt>
              </c:strCache>
            </c:strRef>
          </c:tx>
          <c:spPr>
            <a:solidFill>
              <a:schemeClr val="accent2">
                <a:lumMod val="80000"/>
                <a:lumOff val="20000"/>
              </a:schemeClr>
            </a:solidFill>
            <a:ln>
              <a:noFill/>
            </a:ln>
            <a:effectLst/>
          </c:spPr>
          <c:invertIfNegative val="0"/>
          <c:cat>
            <c:strRef>
              <c:f>Bandwidth!$B$56:$H$56</c:f>
              <c:strCache>
                <c:ptCount val="7"/>
                <c:pt idx="0">
                  <c:v>Current Baseline</c:v>
                </c:pt>
                <c:pt idx="1">
                  <c:v>State of the Art</c:v>
                </c:pt>
                <c:pt idx="2">
                  <c:v>Practical Maximum</c:v>
                </c:pt>
                <c:pt idx="3">
                  <c:v>Theoretical Maximum</c:v>
                </c:pt>
                <c:pt idx="4">
                  <c:v>State of the Art</c:v>
                </c:pt>
                <c:pt idx="5">
                  <c:v>Practical Maximum</c:v>
                </c:pt>
                <c:pt idx="6">
                  <c:v>Theoretical Maximum</c:v>
                </c:pt>
              </c:strCache>
            </c:strRef>
          </c:cat>
          <c:val>
            <c:numRef>
              <c:f>Bandwidth!$B$70:$H$70</c:f>
              <c:numCache>
                <c:formatCode>0.00</c:formatCode>
                <c:ptCount val="7"/>
                <c:pt idx="0">
                  <c:v>0</c:v>
                </c:pt>
                <c:pt idx="1">
                  <c:v>2.7824029245541935</c:v>
                </c:pt>
                <c:pt idx="2">
                  <c:v>2.782402924554193</c:v>
                </c:pt>
                <c:pt idx="3">
                  <c:v>3.4780036556927416</c:v>
                </c:pt>
                <c:pt idx="4">
                  <c:v>3.1302032901234673</c:v>
                </c:pt>
                <c:pt idx="5">
                  <c:v>3.1302032901234673</c:v>
                </c:pt>
                <c:pt idx="6">
                  <c:v>3.4780036556927416</c:v>
                </c:pt>
              </c:numCache>
            </c:numRef>
          </c:val>
          <c:extLst>
            <c:ext xmlns:c16="http://schemas.microsoft.com/office/drawing/2014/chart" uri="{C3380CC4-5D6E-409C-BE32-E72D297353CC}">
              <c16:uniqueId val="{0000000D-E534-BD47-9436-5D5B745E40AD}"/>
            </c:ext>
          </c:extLst>
        </c:ser>
        <c:ser>
          <c:idx val="14"/>
          <c:order val="14"/>
          <c:tx>
            <c:strRef>
              <c:f>Bandwidth!$A$71</c:f>
              <c:strCache>
                <c:ptCount val="1"/>
                <c:pt idx="0">
                  <c:v>Styrene butadiene rubber</c:v>
                </c:pt>
              </c:strCache>
            </c:strRef>
          </c:tx>
          <c:spPr>
            <a:solidFill>
              <a:schemeClr val="accent3">
                <a:lumMod val="80000"/>
                <a:lumOff val="20000"/>
              </a:schemeClr>
            </a:solidFill>
            <a:ln>
              <a:noFill/>
            </a:ln>
            <a:effectLst/>
          </c:spPr>
          <c:invertIfNegative val="0"/>
          <c:cat>
            <c:strRef>
              <c:f>Bandwidth!$B$56:$H$56</c:f>
              <c:strCache>
                <c:ptCount val="7"/>
                <c:pt idx="0">
                  <c:v>Current Baseline</c:v>
                </c:pt>
                <c:pt idx="1">
                  <c:v>State of the Art</c:v>
                </c:pt>
                <c:pt idx="2">
                  <c:v>Practical Maximum</c:v>
                </c:pt>
                <c:pt idx="3">
                  <c:v>Theoretical Maximum</c:v>
                </c:pt>
                <c:pt idx="4">
                  <c:v>State of the Art</c:v>
                </c:pt>
                <c:pt idx="5">
                  <c:v>Practical Maximum</c:v>
                </c:pt>
                <c:pt idx="6">
                  <c:v>Theoretical Maximum</c:v>
                </c:pt>
              </c:strCache>
            </c:strRef>
          </c:cat>
          <c:val>
            <c:numRef>
              <c:f>Bandwidth!$B$71:$H$71</c:f>
              <c:numCache>
                <c:formatCode>0.00</c:formatCode>
                <c:ptCount val="7"/>
                <c:pt idx="0">
                  <c:v>0.27473425393195783</c:v>
                </c:pt>
                <c:pt idx="1">
                  <c:v>0.71900442541901188</c:v>
                </c:pt>
                <c:pt idx="2">
                  <c:v>0.71900442541901188</c:v>
                </c:pt>
                <c:pt idx="3">
                  <c:v>0.71900442541901188</c:v>
                </c:pt>
                <c:pt idx="4">
                  <c:v>0.7154537862811402</c:v>
                </c:pt>
                <c:pt idx="5">
                  <c:v>0.80421976472793177</c:v>
                </c:pt>
                <c:pt idx="6">
                  <c:v>0.88765978446791582</c:v>
                </c:pt>
              </c:numCache>
            </c:numRef>
          </c:val>
          <c:extLst>
            <c:ext xmlns:c16="http://schemas.microsoft.com/office/drawing/2014/chart" uri="{C3380CC4-5D6E-409C-BE32-E72D297353CC}">
              <c16:uniqueId val="{0000000E-E534-BD47-9436-5D5B745E40AD}"/>
            </c:ext>
          </c:extLst>
        </c:ser>
        <c:dLbls>
          <c:showLegendKey val="0"/>
          <c:showVal val="0"/>
          <c:showCatName val="0"/>
          <c:showSerName val="0"/>
          <c:showPercent val="0"/>
          <c:showBubbleSize val="0"/>
        </c:dLbls>
        <c:gapWidth val="150"/>
        <c:overlap val="100"/>
        <c:axId val="1675890639"/>
        <c:axId val="1675892783"/>
      </c:barChart>
      <c:catAx>
        <c:axId val="16758906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1675892783"/>
        <c:crosses val="autoZero"/>
        <c:auto val="1"/>
        <c:lblAlgn val="ctr"/>
        <c:lblOffset val="100"/>
        <c:noMultiLvlLbl val="0"/>
      </c:catAx>
      <c:valAx>
        <c:axId val="1675892783"/>
        <c:scaling>
          <c:orientation val="minMax"/>
          <c:max val="60"/>
          <c:min val="0"/>
        </c:scaling>
        <c:delete val="0"/>
        <c:axPos val="l"/>
        <c:title>
          <c:tx>
            <c:rich>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r>
                  <a:rPr lang="en-US" sz="1100"/>
                  <a:t>MMT Post-Consumer</a:t>
                </a:r>
                <a:r>
                  <a:rPr lang="en-US" sz="1100" baseline="0"/>
                  <a:t> Resin Stock</a:t>
                </a:r>
                <a:endParaRPr lang="en-US" sz="1100"/>
              </a:p>
            </c:rich>
          </c:tx>
          <c:overlay val="0"/>
          <c:spPr>
            <a:noFill/>
            <a:ln>
              <a:noFill/>
            </a:ln>
            <a:effectLst/>
          </c:spPr>
          <c:txPr>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1675890639"/>
        <c:crosses val="autoZero"/>
        <c:crossBetween val="between"/>
      </c:valAx>
      <c:spPr>
        <a:noFill/>
        <a:ln w="25400">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Currently Landfilled</a:t>
            </a:r>
            <a:r>
              <a:rPr lang="en-US" b="1" baseline="0"/>
              <a:t> vs. Post-Consumer Resin Stock Scenarios</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Bandwidth!$V$33</c:f>
              <c:strCache>
                <c:ptCount val="1"/>
                <c:pt idx="0">
                  <c:v>Polyurethane</c:v>
                </c:pt>
              </c:strCache>
            </c:strRef>
          </c:tx>
          <c:spPr>
            <a:solidFill>
              <a:schemeClr val="accent1"/>
            </a:solidFill>
            <a:ln>
              <a:noFill/>
            </a:ln>
            <a:effectLst/>
          </c:spPr>
          <c:invertIfNegative val="0"/>
          <c:cat>
            <c:multiLvlStrRef>
              <c:f>Bandwidth!$T$34:$U$42</c:f>
              <c:multiLvlStrCache>
                <c:ptCount val="8"/>
                <c:lvl>
                  <c:pt idx="1">
                    <c:v>Baseline</c:v>
                  </c:pt>
                  <c:pt idx="3">
                    <c:v>Current Baseline</c:v>
                  </c:pt>
                  <c:pt idx="4">
                    <c:v>Current Typical</c:v>
                  </c:pt>
                  <c:pt idx="5">
                    <c:v>State of the Art</c:v>
                  </c:pt>
                  <c:pt idx="6">
                    <c:v>Practical Maximum</c:v>
                  </c:pt>
                  <c:pt idx="7">
                    <c:v>Theoretical Maximum</c:v>
                  </c:pt>
                </c:lvl>
                <c:lvl>
                  <c:pt idx="0">
                    <c:v>Landfilled</c:v>
                  </c:pt>
                  <c:pt idx="3">
                    <c:v>Post-Consumer Resin Stock</c:v>
                  </c:pt>
                </c:lvl>
              </c:multiLvlStrCache>
            </c:multiLvlStrRef>
          </c:cat>
          <c:val>
            <c:numRef>
              <c:f>Bandwidth!$V$34:$V$41</c:f>
              <c:numCache>
                <c:formatCode>0.00</c:formatCode>
                <c:ptCount val="8"/>
                <c:pt idx="1">
                  <c:v>15.699549312962873</c:v>
                </c:pt>
                <c:pt idx="3">
                  <c:v>1.4605624041391865</c:v>
                </c:pt>
                <c:pt idx="4">
                  <c:v>#N/A</c:v>
                </c:pt>
                <c:pt idx="5">
                  <c:v>16.293527113748819</c:v>
                </c:pt>
                <c:pt idx="6">
                  <c:v>20.366908892186029</c:v>
                </c:pt>
                <c:pt idx="7">
                  <c:v>20.366908892186029</c:v>
                </c:pt>
              </c:numCache>
            </c:numRef>
          </c:val>
          <c:extLst>
            <c:ext xmlns:c16="http://schemas.microsoft.com/office/drawing/2014/chart" uri="{C3380CC4-5D6E-409C-BE32-E72D297353CC}">
              <c16:uniqueId val="{00000000-F88C-A746-811B-0A1204E7A701}"/>
            </c:ext>
          </c:extLst>
        </c:ser>
        <c:ser>
          <c:idx val="1"/>
          <c:order val="1"/>
          <c:tx>
            <c:strRef>
              <c:f>Bandwidth!$W$33</c:f>
              <c:strCache>
                <c:ptCount val="1"/>
                <c:pt idx="0">
                  <c:v>Other thermosets</c:v>
                </c:pt>
              </c:strCache>
            </c:strRef>
          </c:tx>
          <c:spPr>
            <a:solidFill>
              <a:schemeClr val="accent2"/>
            </a:solidFill>
            <a:ln>
              <a:noFill/>
            </a:ln>
            <a:effectLst/>
          </c:spPr>
          <c:invertIfNegative val="0"/>
          <c:cat>
            <c:multiLvlStrRef>
              <c:f>Bandwidth!$T$34:$U$42</c:f>
              <c:multiLvlStrCache>
                <c:ptCount val="8"/>
                <c:lvl>
                  <c:pt idx="1">
                    <c:v>Baseline</c:v>
                  </c:pt>
                  <c:pt idx="3">
                    <c:v>Current Baseline</c:v>
                  </c:pt>
                  <c:pt idx="4">
                    <c:v>Current Typical</c:v>
                  </c:pt>
                  <c:pt idx="5">
                    <c:v>State of the Art</c:v>
                  </c:pt>
                  <c:pt idx="6">
                    <c:v>Practical Maximum</c:v>
                  </c:pt>
                  <c:pt idx="7">
                    <c:v>Theoretical Maximum</c:v>
                  </c:pt>
                </c:lvl>
                <c:lvl>
                  <c:pt idx="0">
                    <c:v>Landfilled</c:v>
                  </c:pt>
                  <c:pt idx="3">
                    <c:v>Post-Consumer Resin Stock</c:v>
                  </c:pt>
                </c:lvl>
              </c:multiLvlStrCache>
            </c:multiLvlStrRef>
          </c:cat>
          <c:val>
            <c:numRef>
              <c:f>Bandwidth!$W$34:$W$41</c:f>
              <c:numCache>
                <c:formatCode>0.00</c:formatCode>
                <c:ptCount val="8"/>
                <c:pt idx="1">
                  <c:v>1.5314589040056534</c:v>
                </c:pt>
                <c:pt idx="3">
                  <c:v>0.13628684864371868</c:v>
                </c:pt>
                <c:pt idx="4">
                  <c:v>#N/A</c:v>
                </c:pt>
                <c:pt idx="5">
                  <c:v>0</c:v>
                </c:pt>
                <c:pt idx="6">
                  <c:v>0</c:v>
                </c:pt>
                <c:pt idx="7">
                  <c:v>0</c:v>
                </c:pt>
              </c:numCache>
            </c:numRef>
          </c:val>
          <c:extLst>
            <c:ext xmlns:c16="http://schemas.microsoft.com/office/drawing/2014/chart" uri="{C3380CC4-5D6E-409C-BE32-E72D297353CC}">
              <c16:uniqueId val="{00000001-F88C-A746-811B-0A1204E7A701}"/>
            </c:ext>
          </c:extLst>
        </c:ser>
        <c:ser>
          <c:idx val="2"/>
          <c:order val="2"/>
          <c:tx>
            <c:strRef>
              <c:f>Bandwidth!$X$33</c:f>
              <c:strCache>
                <c:ptCount val="1"/>
                <c:pt idx="0">
                  <c:v>LDPE</c:v>
                </c:pt>
              </c:strCache>
            </c:strRef>
          </c:tx>
          <c:spPr>
            <a:solidFill>
              <a:schemeClr val="accent3"/>
            </a:solidFill>
            <a:ln>
              <a:noFill/>
            </a:ln>
            <a:effectLst/>
          </c:spPr>
          <c:invertIfNegative val="0"/>
          <c:cat>
            <c:multiLvlStrRef>
              <c:f>Bandwidth!$T$34:$U$42</c:f>
              <c:multiLvlStrCache>
                <c:ptCount val="8"/>
                <c:lvl>
                  <c:pt idx="1">
                    <c:v>Baseline</c:v>
                  </c:pt>
                  <c:pt idx="3">
                    <c:v>Current Baseline</c:v>
                  </c:pt>
                  <c:pt idx="4">
                    <c:v>Current Typical</c:v>
                  </c:pt>
                  <c:pt idx="5">
                    <c:v>State of the Art</c:v>
                  </c:pt>
                  <c:pt idx="6">
                    <c:v>Practical Maximum</c:v>
                  </c:pt>
                  <c:pt idx="7">
                    <c:v>Theoretical Maximum</c:v>
                  </c:pt>
                </c:lvl>
                <c:lvl>
                  <c:pt idx="0">
                    <c:v>Landfilled</c:v>
                  </c:pt>
                  <c:pt idx="3">
                    <c:v>Post-Consumer Resin Stock</c:v>
                  </c:pt>
                </c:lvl>
              </c:multiLvlStrCache>
            </c:multiLvlStrRef>
          </c:cat>
          <c:val>
            <c:numRef>
              <c:f>Bandwidth!$X$34:$X$41</c:f>
              <c:numCache>
                <c:formatCode>0.00</c:formatCode>
                <c:ptCount val="8"/>
                <c:pt idx="1">
                  <c:v>1.4234163603198624</c:v>
                </c:pt>
                <c:pt idx="3">
                  <c:v>9.0143106420287389E-2</c:v>
                </c:pt>
                <c:pt idx="4">
                  <c:v>#N/A</c:v>
                </c:pt>
                <c:pt idx="5">
                  <c:v>0.29046571732803539</c:v>
                </c:pt>
                <c:pt idx="6">
                  <c:v>0.38728762310404719</c:v>
                </c:pt>
                <c:pt idx="7">
                  <c:v>0.48410952888005898</c:v>
                </c:pt>
              </c:numCache>
            </c:numRef>
          </c:val>
          <c:extLst>
            <c:ext xmlns:c16="http://schemas.microsoft.com/office/drawing/2014/chart" uri="{C3380CC4-5D6E-409C-BE32-E72D297353CC}">
              <c16:uniqueId val="{00000002-F88C-A746-811B-0A1204E7A701}"/>
            </c:ext>
          </c:extLst>
        </c:ser>
        <c:ser>
          <c:idx val="3"/>
          <c:order val="3"/>
          <c:tx>
            <c:strRef>
              <c:f>Bandwidth!$Y$33</c:f>
              <c:strCache>
                <c:ptCount val="1"/>
                <c:pt idx="0">
                  <c:v>LLDPE</c:v>
                </c:pt>
              </c:strCache>
            </c:strRef>
          </c:tx>
          <c:spPr>
            <a:solidFill>
              <a:schemeClr val="accent4"/>
            </a:solidFill>
            <a:ln>
              <a:noFill/>
            </a:ln>
            <a:effectLst/>
          </c:spPr>
          <c:invertIfNegative val="0"/>
          <c:cat>
            <c:multiLvlStrRef>
              <c:f>Bandwidth!$T$34:$U$42</c:f>
              <c:multiLvlStrCache>
                <c:ptCount val="8"/>
                <c:lvl>
                  <c:pt idx="1">
                    <c:v>Baseline</c:v>
                  </c:pt>
                  <c:pt idx="3">
                    <c:v>Current Baseline</c:v>
                  </c:pt>
                  <c:pt idx="4">
                    <c:v>Current Typical</c:v>
                  </c:pt>
                  <c:pt idx="5">
                    <c:v>State of the Art</c:v>
                  </c:pt>
                  <c:pt idx="6">
                    <c:v>Practical Maximum</c:v>
                  </c:pt>
                  <c:pt idx="7">
                    <c:v>Theoretical Maximum</c:v>
                  </c:pt>
                </c:lvl>
                <c:lvl>
                  <c:pt idx="0">
                    <c:v>Landfilled</c:v>
                  </c:pt>
                  <c:pt idx="3">
                    <c:v>Post-Consumer Resin Stock</c:v>
                  </c:pt>
                </c:lvl>
              </c:multiLvlStrCache>
            </c:multiLvlStrRef>
          </c:cat>
          <c:val>
            <c:numRef>
              <c:f>Bandwidth!$Y$34:$Y$41</c:f>
              <c:numCache>
                <c:formatCode>0.00</c:formatCode>
                <c:ptCount val="8"/>
                <c:pt idx="1">
                  <c:v>1.2351271160029842</c:v>
                </c:pt>
                <c:pt idx="3">
                  <c:v>7.8218993517413515E-2</c:v>
                </c:pt>
                <c:pt idx="4">
                  <c:v>#N/A</c:v>
                </c:pt>
                <c:pt idx="5">
                  <c:v>0.2520429677093885</c:v>
                </c:pt>
                <c:pt idx="6">
                  <c:v>0.33605729027918468</c:v>
                </c:pt>
                <c:pt idx="7">
                  <c:v>0.42007161284898081</c:v>
                </c:pt>
              </c:numCache>
            </c:numRef>
          </c:val>
          <c:extLst>
            <c:ext xmlns:c16="http://schemas.microsoft.com/office/drawing/2014/chart" uri="{C3380CC4-5D6E-409C-BE32-E72D297353CC}">
              <c16:uniqueId val="{00000003-F88C-A746-811B-0A1204E7A701}"/>
            </c:ext>
          </c:extLst>
        </c:ser>
        <c:ser>
          <c:idx val="4"/>
          <c:order val="4"/>
          <c:tx>
            <c:strRef>
              <c:f>Bandwidth!$Z$33</c:f>
              <c:strCache>
                <c:ptCount val="1"/>
                <c:pt idx="0">
                  <c:v>HDPE</c:v>
                </c:pt>
              </c:strCache>
            </c:strRef>
          </c:tx>
          <c:spPr>
            <a:solidFill>
              <a:schemeClr val="accent5"/>
            </a:solidFill>
            <a:ln>
              <a:noFill/>
            </a:ln>
            <a:effectLst/>
          </c:spPr>
          <c:invertIfNegative val="0"/>
          <c:cat>
            <c:multiLvlStrRef>
              <c:f>Bandwidth!$T$34:$U$42</c:f>
              <c:multiLvlStrCache>
                <c:ptCount val="8"/>
                <c:lvl>
                  <c:pt idx="1">
                    <c:v>Baseline</c:v>
                  </c:pt>
                  <c:pt idx="3">
                    <c:v>Current Baseline</c:v>
                  </c:pt>
                  <c:pt idx="4">
                    <c:v>Current Typical</c:v>
                  </c:pt>
                  <c:pt idx="5">
                    <c:v>State of the Art</c:v>
                  </c:pt>
                  <c:pt idx="6">
                    <c:v>Practical Maximum</c:v>
                  </c:pt>
                  <c:pt idx="7">
                    <c:v>Theoretical Maximum</c:v>
                  </c:pt>
                </c:lvl>
                <c:lvl>
                  <c:pt idx="0">
                    <c:v>Landfilled</c:v>
                  </c:pt>
                  <c:pt idx="3">
                    <c:v>Post-Consumer Resin Stock</c:v>
                  </c:pt>
                </c:lvl>
              </c:multiLvlStrCache>
            </c:multiLvlStrRef>
          </c:cat>
          <c:val>
            <c:numRef>
              <c:f>Bandwidth!$Z$34:$Z$41</c:f>
              <c:numCache>
                <c:formatCode>0.00</c:formatCode>
                <c:ptCount val="8"/>
                <c:pt idx="1">
                  <c:v>1.6348107387684552</c:v>
                </c:pt>
                <c:pt idx="3">
                  <c:v>0.18426848892856054</c:v>
                </c:pt>
                <c:pt idx="4">
                  <c:v>#N/A</c:v>
                </c:pt>
                <c:pt idx="5">
                  <c:v>2.1148190559321778</c:v>
                </c:pt>
                <c:pt idx="6">
                  <c:v>2.1148190559321778</c:v>
                </c:pt>
                <c:pt idx="7">
                  <c:v>2.1148190559321778</c:v>
                </c:pt>
              </c:numCache>
            </c:numRef>
          </c:val>
          <c:extLst>
            <c:ext xmlns:c16="http://schemas.microsoft.com/office/drawing/2014/chart" uri="{C3380CC4-5D6E-409C-BE32-E72D297353CC}">
              <c16:uniqueId val="{00000004-F88C-A746-811B-0A1204E7A701}"/>
            </c:ext>
          </c:extLst>
        </c:ser>
        <c:ser>
          <c:idx val="5"/>
          <c:order val="5"/>
          <c:tx>
            <c:strRef>
              <c:f>Bandwidth!$AA$33</c:f>
              <c:strCache>
                <c:ptCount val="1"/>
                <c:pt idx="0">
                  <c:v>PP</c:v>
                </c:pt>
              </c:strCache>
            </c:strRef>
          </c:tx>
          <c:spPr>
            <a:solidFill>
              <a:schemeClr val="accent6"/>
            </a:solidFill>
            <a:ln>
              <a:noFill/>
            </a:ln>
            <a:effectLst/>
          </c:spPr>
          <c:invertIfNegative val="0"/>
          <c:cat>
            <c:multiLvlStrRef>
              <c:f>Bandwidth!$T$34:$U$42</c:f>
              <c:multiLvlStrCache>
                <c:ptCount val="8"/>
                <c:lvl>
                  <c:pt idx="1">
                    <c:v>Baseline</c:v>
                  </c:pt>
                  <c:pt idx="3">
                    <c:v>Current Baseline</c:v>
                  </c:pt>
                  <c:pt idx="4">
                    <c:v>Current Typical</c:v>
                  </c:pt>
                  <c:pt idx="5">
                    <c:v>State of the Art</c:v>
                  </c:pt>
                  <c:pt idx="6">
                    <c:v>Practical Maximum</c:v>
                  </c:pt>
                  <c:pt idx="7">
                    <c:v>Theoretical Maximum</c:v>
                  </c:pt>
                </c:lvl>
                <c:lvl>
                  <c:pt idx="0">
                    <c:v>Landfilled</c:v>
                  </c:pt>
                  <c:pt idx="3">
                    <c:v>Post-Consumer Resin Stock</c:v>
                  </c:pt>
                </c:lvl>
              </c:multiLvlStrCache>
            </c:multiLvlStrRef>
          </c:cat>
          <c:val>
            <c:numRef>
              <c:f>Bandwidth!$AA$34:$AA$41</c:f>
              <c:numCache>
                <c:formatCode>0.00</c:formatCode>
                <c:ptCount val="8"/>
                <c:pt idx="1">
                  <c:v>1.4753242234518262</c:v>
                </c:pt>
                <c:pt idx="3">
                  <c:v>0</c:v>
                </c:pt>
                <c:pt idx="4">
                  <c:v>#N/A</c:v>
                </c:pt>
                <c:pt idx="5">
                  <c:v>0.72300585613166712</c:v>
                </c:pt>
                <c:pt idx="6">
                  <c:v>1.0845087841975007</c:v>
                </c:pt>
                <c:pt idx="7">
                  <c:v>1.1748845162139592</c:v>
                </c:pt>
              </c:numCache>
            </c:numRef>
          </c:val>
          <c:extLst>
            <c:ext xmlns:c16="http://schemas.microsoft.com/office/drawing/2014/chart" uri="{C3380CC4-5D6E-409C-BE32-E72D297353CC}">
              <c16:uniqueId val="{00000005-F88C-A746-811B-0A1204E7A701}"/>
            </c:ext>
          </c:extLst>
        </c:ser>
        <c:ser>
          <c:idx val="6"/>
          <c:order val="6"/>
          <c:tx>
            <c:strRef>
              <c:f>Bandwidth!$AB$33</c:f>
              <c:strCache>
                <c:ptCount val="1"/>
                <c:pt idx="0">
                  <c:v>PS</c:v>
                </c:pt>
              </c:strCache>
            </c:strRef>
          </c:tx>
          <c:spPr>
            <a:solidFill>
              <a:schemeClr val="accent1">
                <a:lumMod val="60000"/>
              </a:schemeClr>
            </a:solidFill>
            <a:ln>
              <a:noFill/>
            </a:ln>
            <a:effectLst/>
          </c:spPr>
          <c:invertIfNegative val="0"/>
          <c:cat>
            <c:multiLvlStrRef>
              <c:f>Bandwidth!$T$34:$U$42</c:f>
              <c:multiLvlStrCache>
                <c:ptCount val="8"/>
                <c:lvl>
                  <c:pt idx="1">
                    <c:v>Baseline</c:v>
                  </c:pt>
                  <c:pt idx="3">
                    <c:v>Current Baseline</c:v>
                  </c:pt>
                  <c:pt idx="4">
                    <c:v>Current Typical</c:v>
                  </c:pt>
                  <c:pt idx="5">
                    <c:v>State of the Art</c:v>
                  </c:pt>
                  <c:pt idx="6">
                    <c:v>Practical Maximum</c:v>
                  </c:pt>
                  <c:pt idx="7">
                    <c:v>Theoretical Maximum</c:v>
                  </c:pt>
                </c:lvl>
                <c:lvl>
                  <c:pt idx="0">
                    <c:v>Landfilled</c:v>
                  </c:pt>
                  <c:pt idx="3">
                    <c:v>Post-Consumer Resin Stock</c:v>
                  </c:pt>
                </c:lvl>
              </c:multiLvlStrCache>
            </c:multiLvlStrRef>
          </c:cat>
          <c:val>
            <c:numRef>
              <c:f>Bandwidth!$AB$34:$AB$41</c:f>
              <c:numCache>
                <c:formatCode>0.00</c:formatCode>
                <c:ptCount val="8"/>
                <c:pt idx="1">
                  <c:v>1.3171386528375322</c:v>
                </c:pt>
                <c:pt idx="3">
                  <c:v>1.8055670057129148E-2</c:v>
                </c:pt>
                <c:pt idx="4">
                  <c:v>#N/A</c:v>
                </c:pt>
                <c:pt idx="5">
                  <c:v>0.67449703100371139</c:v>
                </c:pt>
                <c:pt idx="6">
                  <c:v>1.0117455465055671</c:v>
                </c:pt>
                <c:pt idx="7">
                  <c:v>1.0960576753810312</c:v>
                </c:pt>
              </c:numCache>
            </c:numRef>
          </c:val>
          <c:extLst>
            <c:ext xmlns:c16="http://schemas.microsoft.com/office/drawing/2014/chart" uri="{C3380CC4-5D6E-409C-BE32-E72D297353CC}">
              <c16:uniqueId val="{00000006-F88C-A746-811B-0A1204E7A701}"/>
            </c:ext>
          </c:extLst>
        </c:ser>
        <c:ser>
          <c:idx val="7"/>
          <c:order val="7"/>
          <c:tx>
            <c:strRef>
              <c:f>Bandwidth!$AC$33</c:f>
              <c:strCache>
                <c:ptCount val="1"/>
                <c:pt idx="0">
                  <c:v>EPS</c:v>
                </c:pt>
              </c:strCache>
            </c:strRef>
          </c:tx>
          <c:spPr>
            <a:solidFill>
              <a:schemeClr val="accent2">
                <a:lumMod val="60000"/>
              </a:schemeClr>
            </a:solidFill>
            <a:ln>
              <a:noFill/>
            </a:ln>
            <a:effectLst/>
          </c:spPr>
          <c:invertIfNegative val="0"/>
          <c:cat>
            <c:multiLvlStrRef>
              <c:f>Bandwidth!$T$34:$U$42</c:f>
              <c:multiLvlStrCache>
                <c:ptCount val="8"/>
                <c:lvl>
                  <c:pt idx="1">
                    <c:v>Baseline</c:v>
                  </c:pt>
                  <c:pt idx="3">
                    <c:v>Current Baseline</c:v>
                  </c:pt>
                  <c:pt idx="4">
                    <c:v>Current Typical</c:v>
                  </c:pt>
                  <c:pt idx="5">
                    <c:v>State of the Art</c:v>
                  </c:pt>
                  <c:pt idx="6">
                    <c:v>Practical Maximum</c:v>
                  </c:pt>
                  <c:pt idx="7">
                    <c:v>Theoretical Maximum</c:v>
                  </c:pt>
                </c:lvl>
                <c:lvl>
                  <c:pt idx="0">
                    <c:v>Landfilled</c:v>
                  </c:pt>
                  <c:pt idx="3">
                    <c:v>Post-Consumer Resin Stock</c:v>
                  </c:pt>
                </c:lvl>
              </c:multiLvlStrCache>
            </c:multiLvlStrRef>
          </c:cat>
          <c:val>
            <c:numRef>
              <c:f>Bandwidth!$AC$34:$AC$41</c:f>
              <c:numCache>
                <c:formatCode>0.00</c:formatCode>
                <c:ptCount val="8"/>
                <c:pt idx="1">
                  <c:v>1.3525545204591718</c:v>
                </c:pt>
                <c:pt idx="3">
                  <c:v>1.8541159735217094E-2</c:v>
                </c:pt>
                <c:pt idx="4">
                  <c:v>#N/A</c:v>
                </c:pt>
                <c:pt idx="5">
                  <c:v>0.69263323671732724</c:v>
                </c:pt>
                <c:pt idx="6">
                  <c:v>1.038949855075991</c:v>
                </c:pt>
                <c:pt idx="7">
                  <c:v>1.1255290096656569</c:v>
                </c:pt>
              </c:numCache>
            </c:numRef>
          </c:val>
          <c:extLst>
            <c:ext xmlns:c16="http://schemas.microsoft.com/office/drawing/2014/chart" uri="{C3380CC4-5D6E-409C-BE32-E72D297353CC}">
              <c16:uniqueId val="{00000007-F88C-A746-811B-0A1204E7A701}"/>
            </c:ext>
          </c:extLst>
        </c:ser>
        <c:ser>
          <c:idx val="8"/>
          <c:order val="8"/>
          <c:tx>
            <c:strRef>
              <c:f>Bandwidth!$AD$33</c:f>
              <c:strCache>
                <c:ptCount val="1"/>
                <c:pt idx="0">
                  <c:v>PVC</c:v>
                </c:pt>
              </c:strCache>
            </c:strRef>
          </c:tx>
          <c:spPr>
            <a:solidFill>
              <a:schemeClr val="accent3">
                <a:lumMod val="60000"/>
              </a:schemeClr>
            </a:solidFill>
            <a:ln>
              <a:noFill/>
            </a:ln>
            <a:effectLst/>
          </c:spPr>
          <c:invertIfNegative val="0"/>
          <c:cat>
            <c:multiLvlStrRef>
              <c:f>Bandwidth!$T$34:$U$42</c:f>
              <c:multiLvlStrCache>
                <c:ptCount val="8"/>
                <c:lvl>
                  <c:pt idx="1">
                    <c:v>Baseline</c:v>
                  </c:pt>
                  <c:pt idx="3">
                    <c:v>Current Baseline</c:v>
                  </c:pt>
                  <c:pt idx="4">
                    <c:v>Current Typical</c:v>
                  </c:pt>
                  <c:pt idx="5">
                    <c:v>State of the Art</c:v>
                  </c:pt>
                  <c:pt idx="6">
                    <c:v>Practical Maximum</c:v>
                  </c:pt>
                  <c:pt idx="7">
                    <c:v>Theoretical Maximum</c:v>
                  </c:pt>
                </c:lvl>
                <c:lvl>
                  <c:pt idx="0">
                    <c:v>Landfilled</c:v>
                  </c:pt>
                  <c:pt idx="3">
                    <c:v>Post-Consumer Resin Stock</c:v>
                  </c:pt>
                </c:lvl>
              </c:multiLvlStrCache>
            </c:multiLvlStrRef>
          </c:cat>
          <c:val>
            <c:numRef>
              <c:f>Bandwidth!$AD$34:$AD$41</c:f>
              <c:numCache>
                <c:formatCode>0.00</c:formatCode>
                <c:ptCount val="8"/>
                <c:pt idx="1">
                  <c:v>1.4328079188353258</c:v>
                </c:pt>
                <c:pt idx="3">
                  <c:v>0</c:v>
                </c:pt>
                <c:pt idx="4">
                  <c:v>#N/A</c:v>
                </c:pt>
                <c:pt idx="5">
                  <c:v>8.8592339671642623E-2</c:v>
                </c:pt>
                <c:pt idx="6">
                  <c:v>0.88592339671642617</c:v>
                </c:pt>
                <c:pt idx="7">
                  <c:v>1.7718467934328523</c:v>
                </c:pt>
              </c:numCache>
            </c:numRef>
          </c:val>
          <c:extLst>
            <c:ext xmlns:c16="http://schemas.microsoft.com/office/drawing/2014/chart" uri="{C3380CC4-5D6E-409C-BE32-E72D297353CC}">
              <c16:uniqueId val="{00000008-F88C-A746-811B-0A1204E7A701}"/>
            </c:ext>
          </c:extLst>
        </c:ser>
        <c:ser>
          <c:idx val="9"/>
          <c:order val="9"/>
          <c:tx>
            <c:strRef>
              <c:f>Bandwidth!$AE$33</c:f>
              <c:strCache>
                <c:ptCount val="1"/>
                <c:pt idx="0">
                  <c:v>PET</c:v>
                </c:pt>
              </c:strCache>
            </c:strRef>
          </c:tx>
          <c:spPr>
            <a:solidFill>
              <a:schemeClr val="accent4">
                <a:lumMod val="60000"/>
              </a:schemeClr>
            </a:solidFill>
            <a:ln>
              <a:noFill/>
            </a:ln>
            <a:effectLst/>
          </c:spPr>
          <c:invertIfNegative val="0"/>
          <c:cat>
            <c:multiLvlStrRef>
              <c:f>Bandwidth!$T$34:$U$42</c:f>
              <c:multiLvlStrCache>
                <c:ptCount val="8"/>
                <c:lvl>
                  <c:pt idx="1">
                    <c:v>Baseline</c:v>
                  </c:pt>
                  <c:pt idx="3">
                    <c:v>Current Baseline</c:v>
                  </c:pt>
                  <c:pt idx="4">
                    <c:v>Current Typical</c:v>
                  </c:pt>
                  <c:pt idx="5">
                    <c:v>State of the Art</c:v>
                  </c:pt>
                  <c:pt idx="6">
                    <c:v>Practical Maximum</c:v>
                  </c:pt>
                  <c:pt idx="7">
                    <c:v>Theoretical Maximum</c:v>
                  </c:pt>
                </c:lvl>
                <c:lvl>
                  <c:pt idx="0">
                    <c:v>Landfilled</c:v>
                  </c:pt>
                  <c:pt idx="3">
                    <c:v>Post-Consumer Resin Stock</c:v>
                  </c:pt>
                </c:lvl>
              </c:multiLvlStrCache>
            </c:multiLvlStrRef>
          </c:cat>
          <c:val>
            <c:numRef>
              <c:f>Bandwidth!$AE$34:$AE$41</c:f>
              <c:numCache>
                <c:formatCode>0.00</c:formatCode>
                <c:ptCount val="8"/>
                <c:pt idx="1">
                  <c:v>2.6502770798950683</c:v>
                </c:pt>
                <c:pt idx="3">
                  <c:v>0.3996841989269615</c:v>
                </c:pt>
                <c:pt idx="4">
                  <c:v>#N/A</c:v>
                </c:pt>
                <c:pt idx="5">
                  <c:v>3.8138937580082017</c:v>
                </c:pt>
                <c:pt idx="6">
                  <c:v>3.8138937580082017</c:v>
                </c:pt>
                <c:pt idx="7">
                  <c:v>3.8138937580082017</c:v>
                </c:pt>
              </c:numCache>
            </c:numRef>
          </c:val>
          <c:extLst>
            <c:ext xmlns:c16="http://schemas.microsoft.com/office/drawing/2014/chart" uri="{C3380CC4-5D6E-409C-BE32-E72D297353CC}">
              <c16:uniqueId val="{0000000A-F88C-A746-811B-0A1204E7A701}"/>
            </c:ext>
          </c:extLst>
        </c:ser>
        <c:ser>
          <c:idx val="10"/>
          <c:order val="10"/>
          <c:tx>
            <c:strRef>
              <c:f>Bandwidth!$AF$33</c:f>
              <c:strCache>
                <c:ptCount val="1"/>
                <c:pt idx="0">
                  <c:v>Polyester fiber</c:v>
                </c:pt>
              </c:strCache>
            </c:strRef>
          </c:tx>
          <c:spPr>
            <a:solidFill>
              <a:schemeClr val="accent5">
                <a:lumMod val="60000"/>
              </a:schemeClr>
            </a:solidFill>
            <a:ln>
              <a:noFill/>
            </a:ln>
            <a:effectLst/>
          </c:spPr>
          <c:invertIfNegative val="0"/>
          <c:cat>
            <c:multiLvlStrRef>
              <c:f>Bandwidth!$T$34:$U$42</c:f>
              <c:multiLvlStrCache>
                <c:ptCount val="8"/>
                <c:lvl>
                  <c:pt idx="1">
                    <c:v>Baseline</c:v>
                  </c:pt>
                  <c:pt idx="3">
                    <c:v>Current Baseline</c:v>
                  </c:pt>
                  <c:pt idx="4">
                    <c:v>Current Typical</c:v>
                  </c:pt>
                  <c:pt idx="5">
                    <c:v>State of the Art</c:v>
                  </c:pt>
                  <c:pt idx="6">
                    <c:v>Practical Maximum</c:v>
                  </c:pt>
                  <c:pt idx="7">
                    <c:v>Theoretical Maximum</c:v>
                  </c:pt>
                </c:lvl>
                <c:lvl>
                  <c:pt idx="0">
                    <c:v>Landfilled</c:v>
                  </c:pt>
                  <c:pt idx="3">
                    <c:v>Post-Consumer Resin Stock</c:v>
                  </c:pt>
                </c:lvl>
              </c:multiLvlStrCache>
            </c:multiLvlStrRef>
          </c:cat>
          <c:val>
            <c:numRef>
              <c:f>Bandwidth!$AF$34:$AF$41</c:f>
              <c:numCache>
                <c:formatCode>0.00</c:formatCode>
                <c:ptCount val="8"/>
                <c:pt idx="1">
                  <c:v>1.0583449275972416</c:v>
                </c:pt>
                <c:pt idx="3">
                  <c:v>0</c:v>
                </c:pt>
                <c:pt idx="4">
                  <c:v>#N/A</c:v>
                </c:pt>
                <c:pt idx="5">
                  <c:v>0.23107837455841429</c:v>
                </c:pt>
                <c:pt idx="6">
                  <c:v>0.69323512367524287</c:v>
                </c:pt>
                <c:pt idx="7">
                  <c:v>1.1553918727920711</c:v>
                </c:pt>
              </c:numCache>
            </c:numRef>
          </c:val>
          <c:extLst>
            <c:ext xmlns:c16="http://schemas.microsoft.com/office/drawing/2014/chart" uri="{C3380CC4-5D6E-409C-BE32-E72D297353CC}">
              <c16:uniqueId val="{0000000B-F88C-A746-811B-0A1204E7A701}"/>
            </c:ext>
          </c:extLst>
        </c:ser>
        <c:ser>
          <c:idx val="11"/>
          <c:order val="11"/>
          <c:tx>
            <c:strRef>
              <c:f>Bandwidth!$AG$33</c:f>
              <c:strCache>
                <c:ptCount val="1"/>
                <c:pt idx="0">
                  <c:v>ABS</c:v>
                </c:pt>
              </c:strCache>
            </c:strRef>
          </c:tx>
          <c:spPr>
            <a:solidFill>
              <a:schemeClr val="accent6">
                <a:lumMod val="60000"/>
              </a:schemeClr>
            </a:solidFill>
            <a:ln>
              <a:noFill/>
            </a:ln>
            <a:effectLst/>
          </c:spPr>
          <c:invertIfNegative val="0"/>
          <c:cat>
            <c:multiLvlStrRef>
              <c:f>Bandwidth!$T$34:$U$42</c:f>
              <c:multiLvlStrCache>
                <c:ptCount val="8"/>
                <c:lvl>
                  <c:pt idx="1">
                    <c:v>Baseline</c:v>
                  </c:pt>
                  <c:pt idx="3">
                    <c:v>Current Baseline</c:v>
                  </c:pt>
                  <c:pt idx="4">
                    <c:v>Current Typical</c:v>
                  </c:pt>
                  <c:pt idx="5">
                    <c:v>State of the Art</c:v>
                  </c:pt>
                  <c:pt idx="6">
                    <c:v>Practical Maximum</c:v>
                  </c:pt>
                  <c:pt idx="7">
                    <c:v>Theoretical Maximum</c:v>
                  </c:pt>
                </c:lvl>
                <c:lvl>
                  <c:pt idx="0">
                    <c:v>Landfilled</c:v>
                  </c:pt>
                  <c:pt idx="3">
                    <c:v>Post-Consumer Resin Stock</c:v>
                  </c:pt>
                </c:lvl>
              </c:multiLvlStrCache>
            </c:multiLvlStrRef>
          </c:cat>
          <c:val>
            <c:numRef>
              <c:f>Bandwidth!$AG$34:$AG$41</c:f>
              <c:numCache>
                <c:formatCode>0.00</c:formatCode>
                <c:ptCount val="8"/>
                <c:pt idx="1">
                  <c:v>0.69076283180579534</c:v>
                </c:pt>
                <c:pt idx="3">
                  <c:v>0</c:v>
                </c:pt>
                <c:pt idx="4">
                  <c:v>#N/A</c:v>
                </c:pt>
                <c:pt idx="5">
                  <c:v>0.78467335397456228</c:v>
                </c:pt>
                <c:pt idx="6">
                  <c:v>0.686589184727742</c:v>
                </c:pt>
                <c:pt idx="7">
                  <c:v>0.98084169246820285</c:v>
                </c:pt>
              </c:numCache>
            </c:numRef>
          </c:val>
          <c:extLst>
            <c:ext xmlns:c16="http://schemas.microsoft.com/office/drawing/2014/chart" uri="{C3380CC4-5D6E-409C-BE32-E72D297353CC}">
              <c16:uniqueId val="{0000000C-F88C-A746-811B-0A1204E7A701}"/>
            </c:ext>
          </c:extLst>
        </c:ser>
        <c:ser>
          <c:idx val="12"/>
          <c:order val="12"/>
          <c:tx>
            <c:strRef>
              <c:f>Bandwidth!$AH$33</c:f>
              <c:strCache>
                <c:ptCount val="1"/>
                <c:pt idx="0">
                  <c:v>Polyamide nylon</c:v>
                </c:pt>
              </c:strCache>
            </c:strRef>
          </c:tx>
          <c:spPr>
            <a:solidFill>
              <a:schemeClr val="accent1">
                <a:lumMod val="80000"/>
                <a:lumOff val="20000"/>
              </a:schemeClr>
            </a:solidFill>
            <a:ln>
              <a:noFill/>
            </a:ln>
            <a:effectLst/>
          </c:spPr>
          <c:invertIfNegative val="0"/>
          <c:cat>
            <c:multiLvlStrRef>
              <c:f>Bandwidth!$T$34:$U$42</c:f>
              <c:multiLvlStrCache>
                <c:ptCount val="8"/>
                <c:lvl>
                  <c:pt idx="1">
                    <c:v>Baseline</c:v>
                  </c:pt>
                  <c:pt idx="3">
                    <c:v>Current Baseline</c:v>
                  </c:pt>
                  <c:pt idx="4">
                    <c:v>Current Typical</c:v>
                  </c:pt>
                  <c:pt idx="5">
                    <c:v>State of the Art</c:v>
                  </c:pt>
                  <c:pt idx="6">
                    <c:v>Practical Maximum</c:v>
                  </c:pt>
                  <c:pt idx="7">
                    <c:v>Theoretical Maximum</c:v>
                  </c:pt>
                </c:lvl>
                <c:lvl>
                  <c:pt idx="0">
                    <c:v>Landfilled</c:v>
                  </c:pt>
                  <c:pt idx="3">
                    <c:v>Post-Consumer Resin Stock</c:v>
                  </c:pt>
                </c:lvl>
              </c:multiLvlStrCache>
            </c:multiLvlStrRef>
          </c:cat>
          <c:val>
            <c:numRef>
              <c:f>Bandwidth!$AH$34:$AH$41</c:f>
              <c:numCache>
                <c:formatCode>0.00</c:formatCode>
                <c:ptCount val="8"/>
                <c:pt idx="1">
                  <c:v>0.54101126897570861</c:v>
                </c:pt>
                <c:pt idx="3">
                  <c:v>0</c:v>
                </c:pt>
                <c:pt idx="4">
                  <c:v>#N/A</c:v>
                </c:pt>
                <c:pt idx="5">
                  <c:v>0.472496258612078</c:v>
                </c:pt>
                <c:pt idx="6">
                  <c:v>0.53155829093858775</c:v>
                </c:pt>
                <c:pt idx="7">
                  <c:v>0.53155829093858775</c:v>
                </c:pt>
              </c:numCache>
            </c:numRef>
          </c:val>
          <c:extLst>
            <c:ext xmlns:c16="http://schemas.microsoft.com/office/drawing/2014/chart" uri="{C3380CC4-5D6E-409C-BE32-E72D297353CC}">
              <c16:uniqueId val="{0000000D-F88C-A746-811B-0A1204E7A701}"/>
            </c:ext>
          </c:extLst>
        </c:ser>
        <c:ser>
          <c:idx val="13"/>
          <c:order val="13"/>
          <c:tx>
            <c:strRef>
              <c:f>Bandwidth!$AI$33</c:f>
              <c:strCache>
                <c:ptCount val="1"/>
                <c:pt idx="0">
                  <c:v>Polycarbonate</c:v>
                </c:pt>
              </c:strCache>
            </c:strRef>
          </c:tx>
          <c:spPr>
            <a:solidFill>
              <a:schemeClr val="accent2">
                <a:lumMod val="80000"/>
                <a:lumOff val="20000"/>
              </a:schemeClr>
            </a:solidFill>
            <a:ln>
              <a:noFill/>
            </a:ln>
            <a:effectLst/>
          </c:spPr>
          <c:invertIfNegative val="0"/>
          <c:cat>
            <c:multiLvlStrRef>
              <c:f>Bandwidth!$T$34:$U$42</c:f>
              <c:multiLvlStrCache>
                <c:ptCount val="8"/>
                <c:lvl>
                  <c:pt idx="1">
                    <c:v>Baseline</c:v>
                  </c:pt>
                  <c:pt idx="3">
                    <c:v>Current Baseline</c:v>
                  </c:pt>
                  <c:pt idx="4">
                    <c:v>Current Typical</c:v>
                  </c:pt>
                  <c:pt idx="5">
                    <c:v>State of the Art</c:v>
                  </c:pt>
                  <c:pt idx="6">
                    <c:v>Practical Maximum</c:v>
                  </c:pt>
                  <c:pt idx="7">
                    <c:v>Theoretical Maximum</c:v>
                  </c:pt>
                </c:lvl>
                <c:lvl>
                  <c:pt idx="0">
                    <c:v>Landfilled</c:v>
                  </c:pt>
                  <c:pt idx="3">
                    <c:v>Post-Consumer Resin Stock</c:v>
                  </c:pt>
                </c:lvl>
              </c:multiLvlStrCache>
            </c:multiLvlStrRef>
          </c:cat>
          <c:val>
            <c:numRef>
              <c:f>Bandwidth!$AI$34:$AI$41</c:f>
              <c:numCache>
                <c:formatCode>0.00</c:formatCode>
                <c:ptCount val="8"/>
                <c:pt idx="1">
                  <c:v>2.8511114742513297</c:v>
                </c:pt>
                <c:pt idx="3">
                  <c:v>0</c:v>
                </c:pt>
                <c:pt idx="4">
                  <c:v>#N/A</c:v>
                </c:pt>
                <c:pt idx="5">
                  <c:v>2.7824029245541935</c:v>
                </c:pt>
                <c:pt idx="6">
                  <c:v>2.782402924554193</c:v>
                </c:pt>
                <c:pt idx="7">
                  <c:v>3.4780036556927416</c:v>
                </c:pt>
              </c:numCache>
            </c:numRef>
          </c:val>
          <c:extLst>
            <c:ext xmlns:c16="http://schemas.microsoft.com/office/drawing/2014/chart" uri="{C3380CC4-5D6E-409C-BE32-E72D297353CC}">
              <c16:uniqueId val="{0000000E-F88C-A746-811B-0A1204E7A701}"/>
            </c:ext>
          </c:extLst>
        </c:ser>
        <c:ser>
          <c:idx val="14"/>
          <c:order val="14"/>
          <c:tx>
            <c:strRef>
              <c:f>Bandwidth!$AJ$33</c:f>
              <c:strCache>
                <c:ptCount val="1"/>
                <c:pt idx="0">
                  <c:v>Styrene butadiene rubber</c:v>
                </c:pt>
              </c:strCache>
            </c:strRef>
          </c:tx>
          <c:spPr>
            <a:solidFill>
              <a:schemeClr val="accent3">
                <a:lumMod val="80000"/>
                <a:lumOff val="20000"/>
              </a:schemeClr>
            </a:solidFill>
            <a:ln>
              <a:noFill/>
            </a:ln>
            <a:effectLst/>
          </c:spPr>
          <c:invertIfNegative val="0"/>
          <c:cat>
            <c:multiLvlStrRef>
              <c:f>Bandwidth!$T$34:$U$42</c:f>
              <c:multiLvlStrCache>
                <c:ptCount val="8"/>
                <c:lvl>
                  <c:pt idx="1">
                    <c:v>Baseline</c:v>
                  </c:pt>
                  <c:pt idx="3">
                    <c:v>Current Baseline</c:v>
                  </c:pt>
                  <c:pt idx="4">
                    <c:v>Current Typical</c:v>
                  </c:pt>
                  <c:pt idx="5">
                    <c:v>State of the Art</c:v>
                  </c:pt>
                  <c:pt idx="6">
                    <c:v>Practical Maximum</c:v>
                  </c:pt>
                  <c:pt idx="7">
                    <c:v>Theoretical Maximum</c:v>
                  </c:pt>
                </c:lvl>
                <c:lvl>
                  <c:pt idx="0">
                    <c:v>Landfilled</c:v>
                  </c:pt>
                  <c:pt idx="3">
                    <c:v>Post-Consumer Resin Stock</c:v>
                  </c:pt>
                </c:lvl>
              </c:multiLvlStrCache>
            </c:multiLvlStrRef>
          </c:cat>
          <c:val>
            <c:numRef>
              <c:f>Bandwidth!$AJ$34:$AJ$41</c:f>
              <c:numCache>
                <c:formatCode>0.00</c:formatCode>
                <c:ptCount val="8"/>
                <c:pt idx="1">
                  <c:v>0.30528040243506777</c:v>
                </c:pt>
                <c:pt idx="3">
                  <c:v>0.27473425393195783</c:v>
                </c:pt>
                <c:pt idx="4">
                  <c:v>#N/A</c:v>
                </c:pt>
                <c:pt idx="5">
                  <c:v>0.71900442541901188</c:v>
                </c:pt>
                <c:pt idx="6">
                  <c:v>0.71900442541901188</c:v>
                </c:pt>
                <c:pt idx="7">
                  <c:v>0.71900442541901188</c:v>
                </c:pt>
              </c:numCache>
            </c:numRef>
          </c:val>
          <c:extLst>
            <c:ext xmlns:c16="http://schemas.microsoft.com/office/drawing/2014/chart" uri="{C3380CC4-5D6E-409C-BE32-E72D297353CC}">
              <c16:uniqueId val="{0000000F-F88C-A746-811B-0A1204E7A701}"/>
            </c:ext>
          </c:extLst>
        </c:ser>
        <c:dLbls>
          <c:showLegendKey val="0"/>
          <c:showVal val="0"/>
          <c:showCatName val="0"/>
          <c:showSerName val="0"/>
          <c:showPercent val="0"/>
          <c:showBubbleSize val="0"/>
        </c:dLbls>
        <c:gapWidth val="150"/>
        <c:overlap val="100"/>
        <c:axId val="1307605279"/>
        <c:axId val="1283037727"/>
      </c:barChart>
      <c:catAx>
        <c:axId val="13076052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1283037727"/>
        <c:crosses val="autoZero"/>
        <c:auto val="1"/>
        <c:lblAlgn val="ctr"/>
        <c:lblOffset val="100"/>
        <c:noMultiLvlLbl val="0"/>
      </c:catAx>
      <c:valAx>
        <c:axId val="1283037727"/>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MMT Annually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130760527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chart" Target="../charts/chart1.xml"/><Relationship Id="rId1" Type="http://schemas.openxmlformats.org/officeDocument/2006/relationships/image" Target="../media/image1.png"/><Relationship Id="rId5" Type="http://schemas.openxmlformats.org/officeDocument/2006/relationships/image" Target="../media/image3.png"/><Relationship Id="rId4" Type="http://schemas.openxmlformats.org/officeDocument/2006/relationships/chart" Target="../charts/chart2.xml"/></Relationships>
</file>

<file path=xl/drawings/_rels/drawing3.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431800</xdr:colOff>
      <xdr:row>2</xdr:row>
      <xdr:rowOff>0</xdr:rowOff>
    </xdr:from>
    <xdr:to>
      <xdr:col>8</xdr:col>
      <xdr:colOff>190500</xdr:colOff>
      <xdr:row>12</xdr:row>
      <xdr:rowOff>165100</xdr:rowOff>
    </xdr:to>
    <xdr:sp macro="" textlink="">
      <xdr:nvSpPr>
        <xdr:cNvPr id="2" name="TextBox 1">
          <a:extLst>
            <a:ext uri="{FF2B5EF4-FFF2-40B4-BE49-F238E27FC236}">
              <a16:creationId xmlns:a16="http://schemas.microsoft.com/office/drawing/2014/main" id="{91E4E701-CD1A-F84E-B38D-C3A53C842AF2}"/>
            </a:ext>
          </a:extLst>
        </xdr:cNvPr>
        <xdr:cNvSpPr txBox="1"/>
      </xdr:nvSpPr>
      <xdr:spPr>
        <a:xfrm>
          <a:off x="431800" y="546100"/>
          <a:ext cx="8483600" cy="2184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t>Primary Source: ACC 2020. Resin</a:t>
          </a:r>
          <a:r>
            <a:rPr lang="en-US" sz="1200" baseline="0"/>
            <a:t> Review.</a:t>
          </a:r>
        </a:p>
        <a:p>
          <a:endParaRPr lang="en-US" sz="1200" baseline="0"/>
        </a:p>
        <a:p>
          <a:r>
            <a:rPr lang="en-US" sz="1200" baseline="0"/>
            <a:t>Notes:</a:t>
          </a:r>
        </a:p>
        <a:p>
          <a:r>
            <a:rPr lang="en-US" sz="1200" baseline="0"/>
            <a:t>-All data is for 2019 (Latest year in ACC report)</a:t>
          </a:r>
        </a:p>
        <a:p>
          <a:r>
            <a:rPr lang="en-US" sz="1200"/>
            <a:t>-Limited to plastics mfg</a:t>
          </a:r>
          <a:r>
            <a:rPr lang="en-US" sz="1200" baseline="0"/>
            <a:t> that participate in survey, covers 95%-100% of production</a:t>
          </a:r>
        </a:p>
        <a:p>
          <a:r>
            <a:rPr lang="en-US" sz="1200" baseline="0"/>
            <a:t>-Inconsistent production boundaries for North. American countries.</a:t>
          </a:r>
        </a:p>
        <a:p>
          <a:r>
            <a:rPr lang="en-US" sz="1200" baseline="0"/>
            <a:t>-Heller et al. 2020 uses scaling to disaggregate base don GDP, Population</a:t>
          </a:r>
        </a:p>
        <a:p>
          <a:r>
            <a:rPr lang="en-US" sz="1200" baseline="0"/>
            <a:t>-Only dominant thermoplastics: LDPE,LLDPE,HDPE, PP, PS, EPS, PVC</a:t>
          </a:r>
        </a:p>
        <a:p>
          <a:r>
            <a:rPr lang="en-US" sz="1200" baseline="0"/>
            <a:t>-Unclear if imports are included - adding imports presents a potential double counting, so assuming this data does not include imports</a:t>
          </a:r>
        </a:p>
        <a:p>
          <a:r>
            <a:rPr lang="en-US" sz="1200" baseline="0"/>
            <a:t>-Use sales data, may includes imports since sales does not match production</a:t>
          </a:r>
          <a:endParaRPr lang="en-US" sz="1200"/>
        </a:p>
        <a:p>
          <a:endParaRPr lang="en-US" sz="1200"/>
        </a:p>
      </xdr:txBody>
    </xdr:sp>
    <xdr:clientData/>
  </xdr:twoCellAnchor>
  <xdr:twoCellAnchor editAs="oneCell">
    <xdr:from>
      <xdr:col>20</xdr:col>
      <xdr:colOff>148167</xdr:colOff>
      <xdr:row>18</xdr:row>
      <xdr:rowOff>320219</xdr:rowOff>
    </xdr:from>
    <xdr:to>
      <xdr:col>35</xdr:col>
      <xdr:colOff>8467</xdr:colOff>
      <xdr:row>46</xdr:row>
      <xdr:rowOff>177799</xdr:rowOff>
    </xdr:to>
    <xdr:pic>
      <xdr:nvPicPr>
        <xdr:cNvPr id="3" name="Picture 2">
          <a:extLst>
            <a:ext uri="{FF2B5EF4-FFF2-40B4-BE49-F238E27FC236}">
              <a16:creationId xmlns:a16="http://schemas.microsoft.com/office/drawing/2014/main" id="{3B639C6D-DCBE-9E41-BFFE-B7227CB8C3D5}"/>
            </a:ext>
          </a:extLst>
        </xdr:cNvPr>
        <xdr:cNvPicPr>
          <a:picLocks noChangeAspect="1"/>
        </xdr:cNvPicPr>
      </xdr:nvPicPr>
      <xdr:blipFill>
        <a:blip xmlns:r="http://schemas.openxmlformats.org/officeDocument/2006/relationships" r:embed="rId1"/>
        <a:stretch>
          <a:fillRect/>
        </a:stretch>
      </xdr:blipFill>
      <xdr:spPr>
        <a:xfrm>
          <a:off x="19642667" y="4119636"/>
          <a:ext cx="12242800" cy="5932413"/>
        </a:xfrm>
        <a:prstGeom prst="rect">
          <a:avLst/>
        </a:prstGeom>
      </xdr:spPr>
    </xdr:pic>
    <xdr:clientData/>
  </xdr:twoCellAnchor>
  <xdr:twoCellAnchor>
    <xdr:from>
      <xdr:col>20</xdr:col>
      <xdr:colOff>368300</xdr:colOff>
      <xdr:row>4</xdr:row>
      <xdr:rowOff>101600</xdr:rowOff>
    </xdr:from>
    <xdr:to>
      <xdr:col>25</xdr:col>
      <xdr:colOff>641350</xdr:colOff>
      <xdr:row>16</xdr:row>
      <xdr:rowOff>120650</xdr:rowOff>
    </xdr:to>
    <xdr:graphicFrame macro="">
      <xdr:nvGraphicFramePr>
        <xdr:cNvPr id="4" name="Chart 3">
          <a:extLst>
            <a:ext uri="{FF2B5EF4-FFF2-40B4-BE49-F238E27FC236}">
              <a16:creationId xmlns:a16="http://schemas.microsoft.com/office/drawing/2014/main" id="{24B4FADE-4C5A-FB40-8E4F-BAD8A5112A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20</xdr:col>
      <xdr:colOff>42332</xdr:colOff>
      <xdr:row>49</xdr:row>
      <xdr:rowOff>149260</xdr:rowOff>
    </xdr:from>
    <xdr:to>
      <xdr:col>34</xdr:col>
      <xdr:colOff>12699</xdr:colOff>
      <xdr:row>82</xdr:row>
      <xdr:rowOff>46566</xdr:rowOff>
    </xdr:to>
    <xdr:pic>
      <xdr:nvPicPr>
        <xdr:cNvPr id="5" name="Picture 4">
          <a:extLst>
            <a:ext uri="{FF2B5EF4-FFF2-40B4-BE49-F238E27FC236}">
              <a16:creationId xmlns:a16="http://schemas.microsoft.com/office/drawing/2014/main" id="{E6864D6A-9D98-4649-BF5D-3F581330DDCC}"/>
            </a:ext>
          </a:extLst>
        </xdr:cNvPr>
        <xdr:cNvPicPr>
          <a:picLocks noChangeAspect="1"/>
        </xdr:cNvPicPr>
      </xdr:nvPicPr>
      <xdr:blipFill>
        <a:blip xmlns:r="http://schemas.openxmlformats.org/officeDocument/2006/relationships" r:embed="rId3"/>
        <a:stretch>
          <a:fillRect/>
        </a:stretch>
      </xdr:blipFill>
      <xdr:spPr>
        <a:xfrm>
          <a:off x="19536832" y="10266927"/>
          <a:ext cx="11527367" cy="6533056"/>
        </a:xfrm>
        <a:prstGeom prst="rect">
          <a:avLst/>
        </a:prstGeom>
      </xdr:spPr>
    </xdr:pic>
    <xdr:clientData/>
  </xdr:twoCellAnchor>
  <xdr:twoCellAnchor>
    <xdr:from>
      <xdr:col>22</xdr:col>
      <xdr:colOff>615950</xdr:colOff>
      <xdr:row>96</xdr:row>
      <xdr:rowOff>19050</xdr:rowOff>
    </xdr:from>
    <xdr:to>
      <xdr:col>28</xdr:col>
      <xdr:colOff>234950</xdr:colOff>
      <xdr:row>109</xdr:row>
      <xdr:rowOff>120650</xdr:rowOff>
    </xdr:to>
    <xdr:graphicFrame macro="">
      <xdr:nvGraphicFramePr>
        <xdr:cNvPr id="6" name="Chart 5">
          <a:extLst>
            <a:ext uri="{FF2B5EF4-FFF2-40B4-BE49-F238E27FC236}">
              <a16:creationId xmlns:a16="http://schemas.microsoft.com/office/drawing/2014/main" id="{2D115B84-332C-8149-B8A2-3C94620F7D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17</xdr:col>
      <xdr:colOff>391582</xdr:colOff>
      <xdr:row>117</xdr:row>
      <xdr:rowOff>193086</xdr:rowOff>
    </xdr:from>
    <xdr:to>
      <xdr:col>37</xdr:col>
      <xdr:colOff>146049</xdr:colOff>
      <xdr:row>157</xdr:row>
      <xdr:rowOff>198966</xdr:rowOff>
    </xdr:to>
    <xdr:pic>
      <xdr:nvPicPr>
        <xdr:cNvPr id="7" name="Picture 6">
          <a:extLst>
            <a:ext uri="{FF2B5EF4-FFF2-40B4-BE49-F238E27FC236}">
              <a16:creationId xmlns:a16="http://schemas.microsoft.com/office/drawing/2014/main" id="{7DA2610E-291B-1F48-831A-1D7F4F611670}"/>
            </a:ext>
          </a:extLst>
        </xdr:cNvPr>
        <xdr:cNvPicPr>
          <a:picLocks noChangeAspect="1"/>
        </xdr:cNvPicPr>
      </xdr:nvPicPr>
      <xdr:blipFill>
        <a:blip xmlns:r="http://schemas.openxmlformats.org/officeDocument/2006/relationships" r:embed="rId5"/>
        <a:stretch>
          <a:fillRect/>
        </a:stretch>
      </xdr:blipFill>
      <xdr:spPr>
        <a:xfrm>
          <a:off x="17409582" y="23984419"/>
          <a:ext cx="16264467" cy="804921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10</xdr:col>
      <xdr:colOff>63500</xdr:colOff>
      <xdr:row>13</xdr:row>
      <xdr:rowOff>76200</xdr:rowOff>
    </xdr:from>
    <xdr:to>
      <xdr:col>20</xdr:col>
      <xdr:colOff>622300</xdr:colOff>
      <xdr:row>16</xdr:row>
      <xdr:rowOff>152400</xdr:rowOff>
    </xdr:to>
    <xdr:sp macro="" textlink="">
      <xdr:nvSpPr>
        <xdr:cNvPr id="2" name="TextBox 1">
          <a:extLst>
            <a:ext uri="{FF2B5EF4-FFF2-40B4-BE49-F238E27FC236}">
              <a16:creationId xmlns:a16="http://schemas.microsoft.com/office/drawing/2014/main" id="{E0654DBD-BE26-2448-92FB-7D91FA0D9EE0}"/>
            </a:ext>
          </a:extLst>
        </xdr:cNvPr>
        <xdr:cNvSpPr txBox="1"/>
      </xdr:nvSpPr>
      <xdr:spPr>
        <a:xfrm>
          <a:off x="8420100" y="482600"/>
          <a:ext cx="7988300" cy="685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t>Source: The lognormal distribution</a:t>
          </a:r>
          <a:r>
            <a:rPr lang="en-US" sz="1600" baseline="0"/>
            <a:t> </a:t>
          </a:r>
          <a:r>
            <a:rPr lang="en-US" sz="1600"/>
            <a:t>asusmption for product lifetime is from </a:t>
          </a:r>
          <a:r>
            <a:rPr lang="en-US" sz="1600" b="0" i="0">
              <a:solidFill>
                <a:schemeClr val="dk1"/>
              </a:solidFill>
              <a:effectLst/>
              <a:latin typeface="+mn-lt"/>
              <a:ea typeface="+mn-ea"/>
              <a:cs typeface="+mn-cs"/>
            </a:rPr>
            <a:t>DOI: 10.1126/sciadv.1700782</a:t>
          </a:r>
          <a:endParaRPr lang="en-US" sz="1600"/>
        </a:p>
        <a:p>
          <a:endParaRPr lang="en-US" sz="16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9</xdr:col>
      <xdr:colOff>596195</xdr:colOff>
      <xdr:row>0</xdr:row>
      <xdr:rowOff>170744</xdr:rowOff>
    </xdr:from>
    <xdr:to>
      <xdr:col>17</xdr:col>
      <xdr:colOff>0</xdr:colOff>
      <xdr:row>31</xdr:row>
      <xdr:rowOff>366888</xdr:rowOff>
    </xdr:to>
    <xdr:graphicFrame macro="">
      <xdr:nvGraphicFramePr>
        <xdr:cNvPr id="3" name="Chart 2">
          <a:extLst>
            <a:ext uri="{FF2B5EF4-FFF2-40B4-BE49-F238E27FC236}">
              <a16:creationId xmlns:a16="http://schemas.microsoft.com/office/drawing/2014/main" id="{30421CDB-EA29-DD49-970B-DF4420679F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342900</xdr:colOff>
      <xdr:row>35</xdr:row>
      <xdr:rowOff>128411</xdr:rowOff>
    </xdr:from>
    <xdr:to>
      <xdr:col>17</xdr:col>
      <xdr:colOff>1044221</xdr:colOff>
      <xdr:row>67</xdr:row>
      <xdr:rowOff>152401</xdr:rowOff>
    </xdr:to>
    <xdr:graphicFrame macro="">
      <xdr:nvGraphicFramePr>
        <xdr:cNvPr id="4" name="Chart 3">
          <a:extLst>
            <a:ext uri="{FF2B5EF4-FFF2-40B4-BE49-F238E27FC236}">
              <a16:creationId xmlns:a16="http://schemas.microsoft.com/office/drawing/2014/main" id="{0B32E5B9-07F6-E942-965C-3B881EBCBD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20</xdr:col>
      <xdr:colOff>209550</xdr:colOff>
      <xdr:row>45</xdr:row>
      <xdr:rowOff>127000</xdr:rowOff>
    </xdr:from>
    <xdr:to>
      <xdr:col>27</xdr:col>
      <xdr:colOff>431800</xdr:colOff>
      <xdr:row>87</xdr:row>
      <xdr:rowOff>190500</xdr:rowOff>
    </xdr:to>
    <xdr:graphicFrame macro="">
      <xdr:nvGraphicFramePr>
        <xdr:cNvPr id="9" name="Chart 8">
          <a:extLst>
            <a:ext uri="{FF2B5EF4-FFF2-40B4-BE49-F238E27FC236}">
              <a16:creationId xmlns:a16="http://schemas.microsoft.com/office/drawing/2014/main" id="{9D68D01E-C112-9046-84FD-09782B887B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plasticsinsight.com/resin-intelligence/resin-prices/sbr-plastic/" TargetMode="External"/><Relationship Id="rId7" Type="http://schemas.openxmlformats.org/officeDocument/2006/relationships/drawing" Target="../drawings/drawing1.xml"/><Relationship Id="rId2" Type="http://schemas.openxmlformats.org/officeDocument/2006/relationships/hyperlink" Target="https://www.statista.com/statistics/975638/us-polyester-fiber-production-volume/" TargetMode="External"/><Relationship Id="rId1" Type="http://schemas.openxmlformats.org/officeDocument/2006/relationships/hyperlink" Target="https://polyurethane.americanchemistry.com/Resources-and-Document-Library/Economic-Benefits-of-Polyurethane-Full-Report.pdf" TargetMode="External"/><Relationship Id="rId6" Type="http://schemas.openxmlformats.org/officeDocument/2006/relationships/hyperlink" Target="https://www.plasticsinsight.com/resin-intelligence/resin-prices/polycarbonate/" TargetMode="External"/><Relationship Id="rId5" Type="http://schemas.openxmlformats.org/officeDocument/2006/relationships/hyperlink" Target="https://www.plasticsinsight.com/resin-intelligence/resin-prices/abs-plastic/" TargetMode="External"/><Relationship Id="rId4" Type="http://schemas.openxmlformats.org/officeDocument/2006/relationships/hyperlink" Target="http://www.petresin.org/news_PETbythenumbers.asp" TargetMode="External"/></Relationships>
</file>

<file path=xl/worksheets/_rels/sheet12.xml.rels><?xml version="1.0" encoding="UTF-8" standalone="yes"?>
<Relationships xmlns="http://schemas.openxmlformats.org/package/2006/relationships"><Relationship Id="rId3" Type="http://schemas.openxmlformats.org/officeDocument/2006/relationships/hyperlink" Target="https://www.calrecycle.ca.gov/tires/recycling" TargetMode="External"/><Relationship Id="rId2" Type="http://schemas.openxmlformats.org/officeDocument/2006/relationships/hyperlink" Target="https://www2.calrecycle.ca.gov/Publications/Download/1742" TargetMode="External"/><Relationship Id="rId1" Type="http://schemas.openxmlformats.org/officeDocument/2006/relationships/hyperlink" Target="https://www.epa.gov/stationary-sources-air-pollution/commercial-and-industrial-solid-waste-incineration-units-ciswi-new" TargetMode="External"/><Relationship Id="rId4" Type="http://schemas.openxmlformats.org/officeDocument/2006/relationships/hyperlink" Target="https://onlinelibrary.wiley.com/doi/10.1002/anie.201915651" TargetMode="External"/></Relationships>
</file>

<file path=xl/worksheets/_rels/sheet17.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hyperlink" Target="https://www.epa.gov/sites/default/files/2021-01/documents/2018_tables_and_figures_dec_2020_fnl_508.pdf" TargetMode="External"/><Relationship Id="rId1" Type="http://schemas.openxmlformats.org/officeDocument/2006/relationships/hyperlink" Target="https://www.sciencedirect.com/science/article/pii/S0921344921000471?via%3Dihub" TargetMode="External"/><Relationship Id="rId4" Type="http://schemas.openxmlformats.org/officeDocument/2006/relationships/comments" Target="../comments2.xml"/></Relationships>
</file>

<file path=xl/worksheets/_rels/sheet8.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FE29BD-1EBD-3442-93B1-CCE3A802E70A}">
  <dimension ref="A1:AA96"/>
  <sheetViews>
    <sheetView tabSelected="1" topLeftCell="A19" zoomScale="140" zoomScaleNormal="140" workbookViewId="0">
      <selection activeCell="B38" sqref="B38"/>
    </sheetView>
  </sheetViews>
  <sheetFormatPr baseColWidth="10" defaultRowHeight="16" x14ac:dyDescent="0.2"/>
  <cols>
    <col min="1" max="1" width="31.1640625" customWidth="1"/>
    <col min="2" max="2" width="15.83203125" bestFit="1" customWidth="1"/>
    <col min="3" max="3" width="17" bestFit="1" customWidth="1"/>
    <col min="4" max="4" width="11.33203125" bestFit="1" customWidth="1"/>
    <col min="5" max="5" width="11.33203125" customWidth="1"/>
    <col min="6" max="6" width="17.5" customWidth="1"/>
  </cols>
  <sheetData>
    <row r="1" spans="1:20" ht="24" x14ac:dyDescent="0.3">
      <c r="A1" s="4" t="s">
        <v>77</v>
      </c>
      <c r="B1" s="3"/>
    </row>
    <row r="2" spans="1:20" s="14" customFormat="1" ht="19" x14ac:dyDescent="0.25">
      <c r="A2" s="13"/>
      <c r="Q2" s="21" t="s">
        <v>78</v>
      </c>
    </row>
    <row r="3" spans="1:20" s="14" customFormat="1" ht="15" x14ac:dyDescent="0.2">
      <c r="A3" s="13"/>
    </row>
    <row r="6" spans="1:20" x14ac:dyDescent="0.2">
      <c r="A6" s="1"/>
    </row>
    <row r="7" spans="1:20" x14ac:dyDescent="0.2">
      <c r="A7" s="1"/>
    </row>
    <row r="8" spans="1:20" x14ac:dyDescent="0.2">
      <c r="A8" s="1"/>
      <c r="Q8" s="2" t="s">
        <v>36</v>
      </c>
    </row>
    <row r="9" spans="1:20" x14ac:dyDescent="0.2">
      <c r="Q9" t="s">
        <v>34</v>
      </c>
      <c r="R9" t="s">
        <v>27</v>
      </c>
      <c r="S9" t="s">
        <v>27</v>
      </c>
      <c r="T9" t="s">
        <v>35</v>
      </c>
    </row>
    <row r="10" spans="1:20" x14ac:dyDescent="0.2">
      <c r="Q10">
        <v>2013</v>
      </c>
      <c r="R10">
        <v>9.3000000000000007</v>
      </c>
      <c r="S10">
        <f>0.49*($T$10)-976.88</f>
        <v>9</v>
      </c>
      <c r="T10">
        <v>2012</v>
      </c>
    </row>
    <row r="11" spans="1:20" x14ac:dyDescent="0.2">
      <c r="Q11">
        <v>2014</v>
      </c>
      <c r="R11">
        <v>10.199999999999999</v>
      </c>
      <c r="S11">
        <f t="shared" ref="S11:S16" si="0">0.49*(Q11)-976.88</f>
        <v>9.9800000000000182</v>
      </c>
    </row>
    <row r="12" spans="1:20" x14ac:dyDescent="0.2">
      <c r="Q12">
        <v>2015</v>
      </c>
      <c r="R12">
        <v>10.6</v>
      </c>
      <c r="S12">
        <f t="shared" si="0"/>
        <v>10.470000000000027</v>
      </c>
    </row>
    <row r="13" spans="1:20" x14ac:dyDescent="0.2">
      <c r="Q13">
        <v>2016</v>
      </c>
      <c r="R13">
        <v>10.8</v>
      </c>
      <c r="S13">
        <f t="shared" si="0"/>
        <v>10.960000000000036</v>
      </c>
    </row>
    <row r="14" spans="1:20" x14ac:dyDescent="0.2">
      <c r="Q14">
        <v>2017</v>
      </c>
      <c r="S14">
        <f t="shared" si="0"/>
        <v>11.449999999999932</v>
      </c>
    </row>
    <row r="15" spans="1:20" x14ac:dyDescent="0.2">
      <c r="A15" s="201" t="s">
        <v>935</v>
      </c>
      <c r="B15" s="202"/>
      <c r="C15" s="202"/>
      <c r="D15" s="202"/>
      <c r="E15" s="202"/>
      <c r="F15" s="202"/>
      <c r="G15" s="202"/>
      <c r="Q15">
        <v>2018</v>
      </c>
      <c r="S15">
        <f t="shared" si="0"/>
        <v>11.939999999999941</v>
      </c>
    </row>
    <row r="16" spans="1:20" x14ac:dyDescent="0.2">
      <c r="Q16" s="2">
        <v>2019</v>
      </c>
      <c r="R16" s="2"/>
      <c r="S16" s="2">
        <f t="shared" si="0"/>
        <v>12.42999999999995</v>
      </c>
    </row>
    <row r="17" spans="1:9" ht="19" x14ac:dyDescent="0.25">
      <c r="A17" s="12" t="s">
        <v>24</v>
      </c>
    </row>
    <row r="18" spans="1:9" x14ac:dyDescent="0.2">
      <c r="B18" s="2" t="s">
        <v>29</v>
      </c>
      <c r="C18" s="2" t="s">
        <v>29</v>
      </c>
      <c r="D18" s="2" t="s">
        <v>109</v>
      </c>
      <c r="E18" s="2" t="s">
        <v>109</v>
      </c>
      <c r="F18" s="2"/>
      <c r="G18" s="2"/>
    </row>
    <row r="19" spans="1:9" ht="51" x14ac:dyDescent="0.2">
      <c r="A19" s="2" t="s">
        <v>76</v>
      </c>
      <c r="B19" s="2" t="s">
        <v>27</v>
      </c>
      <c r="C19" s="2" t="s">
        <v>28</v>
      </c>
      <c r="D19" s="2" t="s">
        <v>33</v>
      </c>
      <c r="E19" s="29" t="s">
        <v>866</v>
      </c>
      <c r="F19" s="2" t="s">
        <v>84</v>
      </c>
      <c r="G19" s="2" t="s">
        <v>17</v>
      </c>
      <c r="H19" s="2" t="s">
        <v>16</v>
      </c>
    </row>
    <row r="20" spans="1:9" x14ac:dyDescent="0.2">
      <c r="A20" t="s">
        <v>82</v>
      </c>
      <c r="B20" s="22">
        <f>PlasticsUse!B19</f>
        <v>55001</v>
      </c>
      <c r="C20" s="22">
        <f>B20</f>
        <v>55001</v>
      </c>
      <c r="D20" s="11">
        <f>IFERROR(INDEX('Imports - Raw'!$A$6:$B$19,MATCH(PlasticsDataCompilation!$A20,'Imports - Raw'!$A$6:$A$19,0),2),0)</f>
        <v>8.547108597047795E-2</v>
      </c>
      <c r="E20" s="11">
        <f t="shared" ref="E20:E37" si="1">B20*lb_to_kg*kg_to_MT+D20</f>
        <v>25.033484677970478</v>
      </c>
      <c r="F20" s="37">
        <f>E20/$E$38</f>
        <v>0.41904700335908918</v>
      </c>
      <c r="G20" t="s">
        <v>124</v>
      </c>
      <c r="H20" s="34" t="s">
        <v>125</v>
      </c>
    </row>
    <row r="21" spans="1:9" x14ac:dyDescent="0.2">
      <c r="A21" t="s">
        <v>105</v>
      </c>
      <c r="B21" s="22">
        <f>1962114000/10^6</f>
        <v>1962.114</v>
      </c>
      <c r="C21" s="22">
        <f>B21</f>
        <v>1962.114</v>
      </c>
      <c r="D21" s="11">
        <f>IFERROR(INDEX('Imports - Raw'!$A$6:$B$19,MATCH(PlasticsDataCompilation!$A21,'Imports - Raw'!$A$6:$A$19,0),2),0)</f>
        <v>0</v>
      </c>
      <c r="E21" s="11">
        <f t="shared" si="1"/>
        <v>0.88999921348800004</v>
      </c>
      <c r="F21" s="37">
        <f t="shared" ref="F21:F36" si="2">E21/$E$38</f>
        <v>1.489810580515348E-2</v>
      </c>
      <c r="G21" t="s">
        <v>46</v>
      </c>
      <c r="H21" s="43" t="s">
        <v>380</v>
      </c>
    </row>
    <row r="22" spans="1:9" x14ac:dyDescent="0.2">
      <c r="A22" t="s">
        <v>127</v>
      </c>
      <c r="B22" s="22">
        <v>5000</v>
      </c>
      <c r="C22" s="22">
        <v>5000</v>
      </c>
      <c r="D22" s="11">
        <f>IFERROR(INDEX('Imports - Raw'!$A$6:$B$19,MATCH(PlasticsDataCompilation!$A22,'Imports - Raw'!$A$6:$A$19,0),2),0)</f>
        <v>0</v>
      </c>
      <c r="E22" s="11">
        <f t="shared" si="1"/>
        <v>2.26796</v>
      </c>
      <c r="F22" s="37">
        <f t="shared" si="2"/>
        <v>3.796442460823754E-2</v>
      </c>
      <c r="G22" t="s">
        <v>868</v>
      </c>
      <c r="H22" t="s">
        <v>79</v>
      </c>
    </row>
    <row r="23" spans="1:9" x14ac:dyDescent="0.2">
      <c r="A23" t="s">
        <v>8</v>
      </c>
      <c r="B23" s="22">
        <v>5000</v>
      </c>
      <c r="C23" s="22">
        <v>5000</v>
      </c>
      <c r="D23" s="11">
        <f>IFERROR(INDEX('Imports - Raw'!$A$6:$B$19,MATCH(PlasticsDataCompilation!$A23,'Imports - Raw'!$A$6:$A$19,0),2),0)</f>
        <v>0.40230880436661476</v>
      </c>
      <c r="E23" s="11">
        <f t="shared" si="1"/>
        <v>2.6702688043666147</v>
      </c>
      <c r="F23" s="37">
        <f t="shared" si="2"/>
        <v>4.4698856552630978E-2</v>
      </c>
      <c r="G23" s="15"/>
      <c r="H23" t="s">
        <v>79</v>
      </c>
      <c r="I23" s="15"/>
    </row>
    <row r="24" spans="1:9" x14ac:dyDescent="0.2">
      <c r="A24" t="s">
        <v>19</v>
      </c>
      <c r="B24" s="22">
        <v>5000</v>
      </c>
      <c r="C24" s="22">
        <v>5000</v>
      </c>
      <c r="D24" s="11">
        <f>IFERROR(INDEX('Imports - Raw'!$A$6:$B$19,MATCH(PlasticsDataCompilation!$A24,'Imports - Raw'!$A$6:$A$19,0),2),0)</f>
        <v>4.9086156859499568E-2</v>
      </c>
      <c r="E24" s="11">
        <f t="shared" si="1"/>
        <v>2.3170461568594996</v>
      </c>
      <c r="F24" s="37">
        <f t="shared" si="2"/>
        <v>3.8786100343876882E-2</v>
      </c>
      <c r="G24" s="15"/>
      <c r="H24" t="s">
        <v>79</v>
      </c>
      <c r="I24" s="15"/>
    </row>
    <row r="25" spans="1:9" x14ac:dyDescent="0.2">
      <c r="A25" t="s">
        <v>1</v>
      </c>
      <c r="B25" s="22">
        <v>5000</v>
      </c>
      <c r="C25" s="22">
        <v>5000</v>
      </c>
      <c r="D25" s="11">
        <f>IFERROR(INDEX('Imports - Raw'!$A$6:$B$19,MATCH(PlasticsDataCompilation!$A25,'Imports - Raw'!$A$6:$A$19,0),2),0)</f>
        <v>0.9723164566521969</v>
      </c>
      <c r="E25" s="11">
        <f t="shared" si="1"/>
        <v>3.2402764566521967</v>
      </c>
      <c r="F25" s="37">
        <f t="shared" si="2"/>
        <v>5.4240476572963991E-2</v>
      </c>
      <c r="G25" s="15"/>
      <c r="H25" t="s">
        <v>79</v>
      </c>
      <c r="I25" s="15"/>
    </row>
    <row r="26" spans="1:9" x14ac:dyDescent="0.2">
      <c r="A26" t="s">
        <v>10</v>
      </c>
      <c r="B26" s="22">
        <v>5000</v>
      </c>
      <c r="C26" s="22">
        <v>5000</v>
      </c>
      <c r="D26" s="11">
        <f>IFERROR(INDEX('Imports - Raw'!$A$6:$B$19,MATCH(PlasticsDataCompilation!$A26,'Imports - Raw'!$A$6:$A$19,0),2),0)</f>
        <v>0.22452861547544853</v>
      </c>
      <c r="E26" s="11">
        <f t="shared" si="1"/>
        <v>2.4924886154754486</v>
      </c>
      <c r="F26" s="37">
        <f t="shared" si="2"/>
        <v>4.172291227760104E-2</v>
      </c>
      <c r="G26" s="15"/>
      <c r="H26" t="s">
        <v>79</v>
      </c>
      <c r="I26" s="15"/>
    </row>
    <row r="27" spans="1:9" x14ac:dyDescent="0.2">
      <c r="A27" t="s">
        <v>11</v>
      </c>
      <c r="B27" s="22">
        <v>5000</v>
      </c>
      <c r="C27" s="22">
        <v>5000</v>
      </c>
      <c r="D27" s="11">
        <f>IFERROR(INDEX('Imports - Raw'!$A$6:$B$19,MATCH(PlasticsDataCompilation!$A27,'Imports - Raw'!$A$6:$A$19,0),2),0)</f>
        <v>5.7299410682534392E-2</v>
      </c>
      <c r="E27" s="11">
        <f t="shared" si="1"/>
        <v>2.3252594106825342</v>
      </c>
      <c r="F27" s="37">
        <f t="shared" si="2"/>
        <v>3.8923585773757881E-2</v>
      </c>
      <c r="G27" s="15"/>
      <c r="H27" t="s">
        <v>79</v>
      </c>
      <c r="I27" s="15"/>
    </row>
    <row r="28" spans="1:9" x14ac:dyDescent="0.2">
      <c r="A28" t="s">
        <v>25</v>
      </c>
      <c r="B28" s="22">
        <v>5000</v>
      </c>
      <c r="C28" s="22">
        <v>5000</v>
      </c>
      <c r="D28" s="11">
        <f>IFERROR(INDEX('Imports - Raw'!$A$6:$B$19,MATCH(PlasticsDataCompilation!$A28,'Imports - Raw'!$A$6:$A$19,0),2),0)</f>
        <v>0.11982212178610264</v>
      </c>
      <c r="E28" s="11">
        <f t="shared" si="1"/>
        <v>2.3877821217861026</v>
      </c>
      <c r="F28" s="37">
        <f t="shared" si="2"/>
        <v>3.9970182165226006E-2</v>
      </c>
      <c r="G28" s="15"/>
      <c r="H28" t="s">
        <v>79</v>
      </c>
      <c r="I28" s="15"/>
    </row>
    <row r="29" spans="1:9" x14ac:dyDescent="0.2">
      <c r="A29" t="s">
        <v>7</v>
      </c>
      <c r="B29" s="22">
        <v>5000</v>
      </c>
      <c r="C29" s="22">
        <v>5000</v>
      </c>
      <c r="D29" s="11">
        <f>IFERROR(INDEX('Imports - Raw'!$A$6:$B$19,MATCH(PlasticsDataCompilation!$A29,'Imports - Raw'!$A$6:$A$19,0),2),0)</f>
        <v>0.17534411630514132</v>
      </c>
      <c r="E29" s="11">
        <f t="shared" si="1"/>
        <v>2.4433041163051414</v>
      </c>
      <c r="F29" s="37">
        <f t="shared" si="2"/>
        <v>4.0899590344831038E-2</v>
      </c>
      <c r="G29" s="15"/>
      <c r="H29" t="s">
        <v>79</v>
      </c>
      <c r="I29" s="15"/>
    </row>
    <row r="30" spans="1:9" x14ac:dyDescent="0.2">
      <c r="A30" t="s">
        <v>2</v>
      </c>
      <c r="B30" s="22">
        <f>3.1*short_ton_to_MT/kg_to_MT/lb_to_kg</f>
        <v>6213.0324568815558</v>
      </c>
      <c r="C30" s="22">
        <f>B30</f>
        <v>6213.0324568815558</v>
      </c>
      <c r="D30" s="11">
        <f>IFERROR(INDEX('Imports - Raw'!$A$6:$B$19,MATCH(PlasticsDataCompilation!$A30,'Imports - Raw'!$A$6:$A$19,0),2),0)</f>
        <v>0.58416185684134236</v>
      </c>
      <c r="E30" s="11">
        <f t="shared" si="1"/>
        <v>3.4023436750231606</v>
      </c>
      <c r="F30" s="37">
        <f t="shared" si="2"/>
        <v>5.6953394214064902E-2</v>
      </c>
      <c r="G30" t="s">
        <v>97</v>
      </c>
      <c r="H30" s="34" t="s">
        <v>96</v>
      </c>
      <c r="I30" s="15"/>
    </row>
    <row r="31" spans="1:9" x14ac:dyDescent="0.2">
      <c r="A31" t="s">
        <v>31</v>
      </c>
      <c r="B31" s="22">
        <f>24860*(8/100)</f>
        <v>1988.8</v>
      </c>
      <c r="C31" s="22">
        <f>B31</f>
        <v>1988.8</v>
      </c>
      <c r="D31" s="11">
        <f>IFERROR(INDEX('Imports - Raw'!$A$6:$B$19,MATCH(PlasticsDataCompilation!$A31,'Imports - Raw'!$A$6:$A$19,0),2),0)</f>
        <v>0.10365538034556121</v>
      </c>
      <c r="E31" s="11">
        <f t="shared" si="1"/>
        <v>1.0057591499455611</v>
      </c>
      <c r="F31" s="37">
        <f t="shared" si="2"/>
        <v>1.6835864575280576E-2</v>
      </c>
      <c r="G31" t="s">
        <v>43</v>
      </c>
      <c r="H31" s="34" t="s">
        <v>37</v>
      </c>
      <c r="I31" s="16"/>
    </row>
    <row r="32" spans="1:9" x14ac:dyDescent="0.2">
      <c r="A32" t="s">
        <v>30</v>
      </c>
      <c r="B32" s="22">
        <f>1275/lb_to_kg</f>
        <v>2810.8961357343164</v>
      </c>
      <c r="C32" s="22">
        <f>B32</f>
        <v>2810.8961357343164</v>
      </c>
      <c r="D32" s="11">
        <f>IFERROR(INDEX('Imports - Raw'!$A$6:$B$19,MATCH(PlasticsDataCompilation!$A32,'Imports - Raw'!$A$6:$A$19,0),2),0)</f>
        <v>0</v>
      </c>
      <c r="E32" s="11">
        <f t="shared" si="1"/>
        <v>1.2750000000000001</v>
      </c>
      <c r="F32" s="37">
        <f t="shared" si="2"/>
        <v>2.1342810885334341E-2</v>
      </c>
      <c r="G32" t="s">
        <v>923</v>
      </c>
      <c r="H32" s="43" t="s">
        <v>922</v>
      </c>
      <c r="I32" s="16"/>
    </row>
    <row r="33" spans="1:9" x14ac:dyDescent="0.2">
      <c r="A33" t="s">
        <v>32</v>
      </c>
      <c r="B33" s="22">
        <f>(5100)*(15.2/100)*(1.12*10^7)/10^6</f>
        <v>8682.24</v>
      </c>
      <c r="C33" s="22">
        <f>B33</f>
        <v>8682.24</v>
      </c>
      <c r="D33" s="11">
        <f>IFERROR(INDEX('Imports - Raw'!$A$6:$B$19,MATCH(PlasticsDataCompilation!$A33,'Imports - Raw'!$A$6:$A$19,0),2),0)</f>
        <v>9.5601559273964853E-2</v>
      </c>
      <c r="E33" s="11">
        <f t="shared" si="1"/>
        <v>4.0337961653539649</v>
      </c>
      <c r="F33" s="37">
        <f t="shared" si="2"/>
        <v>6.7523567613440402E-2</v>
      </c>
      <c r="G33" t="s">
        <v>45</v>
      </c>
      <c r="H33" s="43" t="s">
        <v>44</v>
      </c>
    </row>
    <row r="34" spans="1:9" x14ac:dyDescent="0.2">
      <c r="A34" t="s">
        <v>42</v>
      </c>
      <c r="B34" s="22">
        <f>600/kg_to_MT/lb_to_kg/1000</f>
        <v>1322.7746521102665</v>
      </c>
      <c r="C34" s="22">
        <f>B34</f>
        <v>1322.7746521102665</v>
      </c>
      <c r="D34" s="11">
        <f>IFERROR(INDEX('Imports - Raw'!$A$6:$B$19,MATCH(PlasticsDataCompilation!$A34,'Imports - Raw'!$A$6:$A$19,0),2),0)</f>
        <v>0.10483072062519065</v>
      </c>
      <c r="E34" s="11">
        <f t="shared" si="1"/>
        <v>0.70483072062519059</v>
      </c>
      <c r="F34" s="37">
        <f t="shared" si="2"/>
        <v>1.1798485314884208E-2</v>
      </c>
      <c r="G34" t="s">
        <v>129</v>
      </c>
    </row>
    <row r="35" spans="1:9" x14ac:dyDescent="0.2">
      <c r="A35" t="s">
        <v>576</v>
      </c>
      <c r="B35" s="22">
        <v>0</v>
      </c>
      <c r="C35" s="22">
        <v>0</v>
      </c>
      <c r="D35" s="11">
        <f>IFERROR(INDEX('Imports - Raw'!$A$6:$B$19,MATCH(PlasticsDataCompilation!$A35,'Imports - Raw'!$A$6:$A$19,0),2),0)</f>
        <v>2.2635924861555377</v>
      </c>
      <c r="E35" s="11">
        <f t="shared" si="1"/>
        <v>2.2635924861555377</v>
      </c>
      <c r="F35" s="37">
        <f t="shared" si="2"/>
        <v>3.7891314787044258E-2</v>
      </c>
    </row>
    <row r="36" spans="1:9" x14ac:dyDescent="0.2">
      <c r="A36" t="s">
        <v>575</v>
      </c>
      <c r="B36" s="22">
        <v>0</v>
      </c>
      <c r="C36" s="22">
        <v>0</v>
      </c>
      <c r="D36" s="11">
        <f>IFERROR(INDEX('Imports - Raw'!$A$6:$B$19,MATCH(PlasticsDataCompilation!$A36,'Imports - Raw'!$A$6:$A$19,0),2),0)</f>
        <v>0.98589352833803645</v>
      </c>
      <c r="E36" s="11">
        <f t="shared" si="1"/>
        <v>0.98589352833803645</v>
      </c>
      <c r="F36" s="37">
        <f t="shared" si="2"/>
        <v>1.6503324806583314E-2</v>
      </c>
    </row>
    <row r="37" spans="1:9" s="33" customFormat="1" x14ac:dyDescent="0.2">
      <c r="A37" s="140" t="s">
        <v>26</v>
      </c>
      <c r="B37" s="141">
        <f>16417-SUM(B30:B34)</f>
        <v>-4600.7432447261381</v>
      </c>
      <c r="C37" s="141">
        <f>B37</f>
        <v>-4600.7432447261381</v>
      </c>
      <c r="D37" s="142">
        <f>IFERROR(INDEX('Imports - Raw'!$A$6:$B$19,MATCH(PlasticsDataCompilation!$A37,'Imports - Raw'!$A$6:$A$19,0),2),0)</f>
        <v>0</v>
      </c>
      <c r="E37" s="142">
        <f t="shared" si="1"/>
        <v>-2.086860329861818</v>
      </c>
      <c r="F37" s="143"/>
      <c r="G37" s="140" t="s">
        <v>128</v>
      </c>
      <c r="H37" s="140" t="s">
        <v>79</v>
      </c>
      <c r="I37" s="32"/>
    </row>
    <row r="38" spans="1:9" x14ac:dyDescent="0.2">
      <c r="A38" s="2" t="s">
        <v>93</v>
      </c>
      <c r="B38" s="26">
        <f>SUM(B20:B34)</f>
        <v>117980.85724472615</v>
      </c>
      <c r="C38" s="26">
        <f>SUM(C20:C34)</f>
        <v>117980.85724472615</v>
      </c>
      <c r="D38" s="110">
        <f>SUM(D20:D37)</f>
        <v>6.2239122996776493</v>
      </c>
      <c r="E38" s="110">
        <f>SUM(E20:E36)</f>
        <v>59.739085299027465</v>
      </c>
      <c r="F38" s="111">
        <f>SUM(F20:F36)</f>
        <v>0.99999999999999989</v>
      </c>
    </row>
    <row r="39" spans="1:9" x14ac:dyDescent="0.2">
      <c r="A39" s="2" t="s">
        <v>897</v>
      </c>
      <c r="B39" s="11">
        <f>B38*lb_to_kg*kg_to_MT</f>
        <v>53.515172999349822</v>
      </c>
      <c r="C39" s="11">
        <f>C38*lb_to_kg*kg_to_MT</f>
        <v>53.515172999349822</v>
      </c>
      <c r="D39" s="11">
        <f>D38</f>
        <v>6.2239122996776493</v>
      </c>
      <c r="E39" s="11">
        <f>E38</f>
        <v>59.739085299027465</v>
      </c>
    </row>
    <row r="40" spans="1:9" x14ac:dyDescent="0.2">
      <c r="C40" s="17"/>
    </row>
    <row r="41" spans="1:9" x14ac:dyDescent="0.2">
      <c r="C41" s="17"/>
    </row>
    <row r="42" spans="1:9" x14ac:dyDescent="0.2">
      <c r="A42" s="2" t="s">
        <v>49</v>
      </c>
    </row>
    <row r="43" spans="1:9" x14ac:dyDescent="0.2">
      <c r="A43" t="s">
        <v>95</v>
      </c>
      <c r="B43" s="18">
        <f>B38*lb_to_kg*kg_to_MT+D38</f>
        <v>59.739085299027472</v>
      </c>
      <c r="C43" t="s">
        <v>47</v>
      </c>
    </row>
    <row r="44" spans="1:9" x14ac:dyDescent="0.2">
      <c r="A44" t="s">
        <v>126</v>
      </c>
      <c r="B44">
        <v>59.8</v>
      </c>
      <c r="C44" t="s">
        <v>47</v>
      </c>
    </row>
    <row r="45" spans="1:9" x14ac:dyDescent="0.2">
      <c r="B45" s="27">
        <v>131836.4</v>
      </c>
      <c r="C45" t="s">
        <v>48</v>
      </c>
    </row>
    <row r="48" spans="1:9" ht="19" x14ac:dyDescent="0.25">
      <c r="A48" s="12"/>
    </row>
    <row r="88" spans="24:27" x14ac:dyDescent="0.2">
      <c r="X88" t="s">
        <v>36</v>
      </c>
    </row>
    <row r="89" spans="24:27" x14ac:dyDescent="0.2">
      <c r="X89" s="2" t="s">
        <v>41</v>
      </c>
      <c r="AA89" t="s">
        <v>35</v>
      </c>
    </row>
    <row r="90" spans="24:27" x14ac:dyDescent="0.2">
      <c r="X90">
        <v>2013</v>
      </c>
      <c r="Y90">
        <v>4.0999999999999996</v>
      </c>
      <c r="Z90">
        <f>0.47*(X90)-941.99</f>
        <v>4.1199999999998909</v>
      </c>
      <c r="AA90">
        <f>(9.3+976.88)/0.49</f>
        <v>2012.612244897959</v>
      </c>
    </row>
    <row r="91" spans="24:27" x14ac:dyDescent="0.2">
      <c r="X91">
        <v>2014</v>
      </c>
      <c r="Y91">
        <v>4.5999999999999996</v>
      </c>
      <c r="Z91">
        <f t="shared" ref="Z91:Z96" si="3">0.47*(X91)-941.99</f>
        <v>4.5899999999999181</v>
      </c>
    </row>
    <row r="92" spans="24:27" x14ac:dyDescent="0.2">
      <c r="X92">
        <v>2015</v>
      </c>
      <c r="Y92">
        <v>5.0999999999999996</v>
      </c>
      <c r="Z92">
        <f t="shared" si="3"/>
        <v>5.0599999999999454</v>
      </c>
    </row>
    <row r="93" spans="24:27" x14ac:dyDescent="0.2">
      <c r="X93">
        <v>2016</v>
      </c>
      <c r="Y93">
        <v>5.5</v>
      </c>
      <c r="Z93">
        <f t="shared" si="3"/>
        <v>5.5299999999999727</v>
      </c>
    </row>
    <row r="94" spans="24:27" x14ac:dyDescent="0.2">
      <c r="X94">
        <v>2017</v>
      </c>
      <c r="Z94">
        <f t="shared" si="3"/>
        <v>5.9999999999998863</v>
      </c>
    </row>
    <row r="95" spans="24:27" x14ac:dyDescent="0.2">
      <c r="X95">
        <v>2018</v>
      </c>
      <c r="Z95">
        <f t="shared" si="3"/>
        <v>6.4699999999999136</v>
      </c>
    </row>
    <row r="96" spans="24:27" x14ac:dyDescent="0.2">
      <c r="X96" s="2">
        <v>2019</v>
      </c>
      <c r="Y96" s="2"/>
      <c r="Z96" s="2">
        <f t="shared" si="3"/>
        <v>6.9399999999999409</v>
      </c>
      <c r="AA96" s="2"/>
    </row>
  </sheetData>
  <phoneticPr fontId="5" type="noConversion"/>
  <hyperlinks>
    <hyperlink ref="H20" r:id="rId1" xr:uid="{1593C635-B6E1-954F-AFFC-690BBAFD5863}"/>
    <hyperlink ref="H32" r:id="rId2" xr:uid="{12CE0BD8-AFFD-794C-942B-DBC5D39B7A65}"/>
    <hyperlink ref="H21" r:id="rId3" xr:uid="{647EDB92-D846-3845-81C4-3BA5A69E4EC5}"/>
    <hyperlink ref="H30" r:id="rId4" xr:uid="{98479FA7-F742-7E45-A7E5-A5F047B6BEDC}"/>
    <hyperlink ref="H31" r:id="rId5" xr:uid="{C6DB8B1C-0D13-2C4E-A460-EB0192875B2B}"/>
    <hyperlink ref="H33" r:id="rId6" xr:uid="{B53D350A-A2DD-324F-AA3B-444F58C61B17}"/>
  </hyperlinks>
  <pageMargins left="0.7" right="0.7" top="0.75" bottom="0.75" header="0.3" footer="0.3"/>
  <drawing r:id="rId7"/>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292147-B061-6A41-8486-1BD6B2663572}">
  <dimension ref="A1:L243"/>
  <sheetViews>
    <sheetView workbookViewId="0">
      <selection activeCell="E4" sqref="E4"/>
    </sheetView>
  </sheetViews>
  <sheetFormatPr baseColWidth="10" defaultRowHeight="16" x14ac:dyDescent="0.2"/>
  <cols>
    <col min="1" max="1" width="32.5" customWidth="1"/>
    <col min="2" max="2" width="22.6640625" bestFit="1" customWidth="1"/>
    <col min="3" max="3" width="14.6640625" bestFit="1" customWidth="1"/>
    <col min="4" max="4" width="31.33203125" bestFit="1" customWidth="1"/>
    <col min="5" max="5" width="16.5" bestFit="1" customWidth="1"/>
  </cols>
  <sheetData>
    <row r="1" spans="1:8" ht="21" x14ac:dyDescent="0.25">
      <c r="A1" s="19" t="s">
        <v>337</v>
      </c>
      <c r="B1" s="19"/>
    </row>
    <row r="2" spans="1:8" x14ac:dyDescent="0.2">
      <c r="H2" s="20"/>
    </row>
    <row r="3" spans="1:8" x14ac:dyDescent="0.2">
      <c r="A3" s="2" t="s">
        <v>76</v>
      </c>
      <c r="B3" s="2" t="s">
        <v>329</v>
      </c>
      <c r="C3" s="2" t="s">
        <v>328</v>
      </c>
      <c r="D3" s="2" t="s">
        <v>116</v>
      </c>
      <c r="E3" s="2" t="s">
        <v>120</v>
      </c>
    </row>
    <row r="4" spans="1:8" x14ac:dyDescent="0.2">
      <c r="A4" t="s">
        <v>82</v>
      </c>
      <c r="B4" t="s">
        <v>191</v>
      </c>
      <c r="C4" t="e">
        <f>E4</f>
        <v>#REF!</v>
      </c>
      <c r="D4" t="s">
        <v>213</v>
      </c>
      <c r="E4" t="e">
        <f>INDEX(Bandwidth!#REF!,MATCH($A4,Bandwidth!#REF!,0),MATCH('CompilationCalcs - Bandwidth'!$D4,Bandwidth!#REF!,0))</f>
        <v>#REF!</v>
      </c>
    </row>
    <row r="5" spans="1:8" x14ac:dyDescent="0.2">
      <c r="A5" t="s">
        <v>82</v>
      </c>
      <c r="B5" t="s">
        <v>191</v>
      </c>
      <c r="C5" t="e">
        <f t="shared" ref="C5:C35" si="0">E5</f>
        <v>#REF!</v>
      </c>
      <c r="D5" t="s">
        <v>214</v>
      </c>
      <c r="E5" t="e">
        <f>INDEX(Bandwidth!#REF!,MATCH($A5,Bandwidth!#REF!,0),MATCH('CompilationCalcs - Bandwidth'!$D5,Bandwidth!#REF!,0))</f>
        <v>#REF!</v>
      </c>
    </row>
    <row r="6" spans="1:8" x14ac:dyDescent="0.2">
      <c r="A6" t="s">
        <v>82</v>
      </c>
      <c r="B6" t="s">
        <v>191</v>
      </c>
      <c r="C6" t="e">
        <f t="shared" si="0"/>
        <v>#REF!</v>
      </c>
      <c r="D6" t="s">
        <v>215</v>
      </c>
      <c r="E6" t="e">
        <f>INDEX(Bandwidth!#REF!,MATCH($A6,Bandwidth!#REF!,0),MATCH('CompilationCalcs - Bandwidth'!$D6,Bandwidth!#REF!,0))</f>
        <v>#REF!</v>
      </c>
    </row>
    <row r="7" spans="1:8" x14ac:dyDescent="0.2">
      <c r="A7" t="s">
        <v>82</v>
      </c>
      <c r="B7" t="s">
        <v>191</v>
      </c>
      <c r="C7" t="e">
        <f t="shared" si="0"/>
        <v>#REF!</v>
      </c>
      <c r="D7" t="s">
        <v>216</v>
      </c>
      <c r="E7" t="e">
        <f>INDEX(Bandwidth!#REF!,MATCH($A7,Bandwidth!#REF!,0),MATCH('CompilationCalcs - Bandwidth'!$D7,Bandwidth!#REF!,0))</f>
        <v>#REF!</v>
      </c>
    </row>
    <row r="8" spans="1:8" x14ac:dyDescent="0.2">
      <c r="A8" t="s">
        <v>82</v>
      </c>
      <c r="B8" t="s">
        <v>191</v>
      </c>
      <c r="C8" t="e">
        <f t="shared" si="0"/>
        <v>#REF!</v>
      </c>
      <c r="D8" t="s">
        <v>217</v>
      </c>
      <c r="E8" t="e">
        <f>INDEX(Bandwidth!#REF!,MATCH($A8,Bandwidth!#REF!,0),MATCH('CompilationCalcs - Bandwidth'!$D8,Bandwidth!#REF!,0))</f>
        <v>#REF!</v>
      </c>
    </row>
    <row r="9" spans="1:8" x14ac:dyDescent="0.2">
      <c r="A9" t="s">
        <v>82</v>
      </c>
      <c r="B9" t="s">
        <v>191</v>
      </c>
      <c r="C9" t="e">
        <f t="shared" si="0"/>
        <v>#REF!</v>
      </c>
      <c r="D9" t="s">
        <v>218</v>
      </c>
      <c r="E9" t="e">
        <f>INDEX(Bandwidth!#REF!,MATCH($A9,Bandwidth!#REF!,0),MATCH('CompilationCalcs - Bandwidth'!$D9,Bandwidth!#REF!,0))</f>
        <v>#REF!</v>
      </c>
    </row>
    <row r="10" spans="1:8" x14ac:dyDescent="0.2">
      <c r="A10" t="s">
        <v>82</v>
      </c>
      <c r="B10" t="s">
        <v>191</v>
      </c>
      <c r="C10" t="e">
        <f t="shared" si="0"/>
        <v>#REF!</v>
      </c>
      <c r="D10" t="s">
        <v>219</v>
      </c>
      <c r="E10" t="e">
        <f>INDEX(Bandwidth!#REF!,MATCH($A10,Bandwidth!#REF!,0),MATCH('CompilationCalcs - Bandwidth'!$D10,Bandwidth!#REF!,0))</f>
        <v>#REF!</v>
      </c>
    </row>
    <row r="11" spans="1:8" x14ac:dyDescent="0.2">
      <c r="A11" t="s">
        <v>82</v>
      </c>
      <c r="B11" t="s">
        <v>191</v>
      </c>
      <c r="C11" t="e">
        <f t="shared" si="0"/>
        <v>#REF!</v>
      </c>
      <c r="D11" t="s">
        <v>302</v>
      </c>
      <c r="E11" t="e">
        <f>INDEX(Bandwidth!#REF!,MATCH($A11,Bandwidth!#REF!,0),MATCH('CompilationCalcs - Bandwidth'!$D11,Bandwidth!#REF!,0))</f>
        <v>#REF!</v>
      </c>
    </row>
    <row r="12" spans="1:8" x14ac:dyDescent="0.2">
      <c r="A12" t="s">
        <v>82</v>
      </c>
      <c r="B12" t="s">
        <v>191</v>
      </c>
      <c r="C12" t="e">
        <f t="shared" si="0"/>
        <v>#REF!</v>
      </c>
      <c r="D12" t="s">
        <v>220</v>
      </c>
      <c r="E12" t="e">
        <f>INDEX(Bandwidth!#REF!,MATCH($A12,Bandwidth!#REF!,0),MATCH('CompilationCalcs - Bandwidth'!$D12,Bandwidth!#REF!,0))</f>
        <v>#REF!</v>
      </c>
    </row>
    <row r="13" spans="1:8" x14ac:dyDescent="0.2">
      <c r="A13" t="s">
        <v>82</v>
      </c>
      <c r="B13" t="s">
        <v>191</v>
      </c>
      <c r="C13" t="e">
        <f t="shared" si="0"/>
        <v>#REF!</v>
      </c>
      <c r="D13" t="s">
        <v>221</v>
      </c>
      <c r="E13" t="e">
        <f>INDEX(Bandwidth!#REF!,MATCH($A13,Bandwidth!#REF!,0),MATCH('CompilationCalcs - Bandwidth'!$D13,Bandwidth!#REF!,0))</f>
        <v>#REF!</v>
      </c>
    </row>
    <row r="14" spans="1:8" x14ac:dyDescent="0.2">
      <c r="A14" t="s">
        <v>82</v>
      </c>
      <c r="B14" t="s">
        <v>191</v>
      </c>
      <c r="C14" t="e">
        <f t="shared" si="0"/>
        <v>#REF!</v>
      </c>
      <c r="D14" t="s">
        <v>222</v>
      </c>
      <c r="E14" t="e">
        <f>INDEX(Bandwidth!#REF!,MATCH($A14,Bandwidth!#REF!,0),MATCH('CompilationCalcs - Bandwidth'!$D14,Bandwidth!#REF!,0))</f>
        <v>#REF!</v>
      </c>
    </row>
    <row r="15" spans="1:8" x14ac:dyDescent="0.2">
      <c r="A15" t="s">
        <v>82</v>
      </c>
      <c r="B15" t="s">
        <v>191</v>
      </c>
      <c r="C15" t="e">
        <f t="shared" si="0"/>
        <v>#REF!</v>
      </c>
      <c r="D15" t="s">
        <v>223</v>
      </c>
      <c r="E15" t="e">
        <f>INDEX(Bandwidth!#REF!,MATCH($A15,Bandwidth!#REF!,0),MATCH('CompilationCalcs - Bandwidth'!$D15,Bandwidth!#REF!,0))</f>
        <v>#REF!</v>
      </c>
    </row>
    <row r="16" spans="1:8" x14ac:dyDescent="0.2">
      <c r="A16" t="s">
        <v>82</v>
      </c>
      <c r="B16" t="s">
        <v>191</v>
      </c>
      <c r="C16" t="e">
        <f t="shared" si="0"/>
        <v>#REF!</v>
      </c>
      <c r="D16" t="s">
        <v>224</v>
      </c>
      <c r="E16" t="e">
        <f>INDEX(Bandwidth!#REF!,MATCH($A16,Bandwidth!#REF!,0),MATCH('CompilationCalcs - Bandwidth'!$D16,Bandwidth!#REF!,0))</f>
        <v>#REF!</v>
      </c>
    </row>
    <row r="17" spans="1:5" x14ac:dyDescent="0.2">
      <c r="A17" t="s">
        <v>82</v>
      </c>
      <c r="B17" t="s">
        <v>191</v>
      </c>
      <c r="C17" t="e">
        <f t="shared" si="0"/>
        <v>#REF!</v>
      </c>
      <c r="D17" t="s">
        <v>225</v>
      </c>
      <c r="E17" t="e">
        <f>INDEX(Bandwidth!#REF!,MATCH($A17,Bandwidth!#REF!,0),MATCH('CompilationCalcs - Bandwidth'!$D17,Bandwidth!#REF!,0))</f>
        <v>#REF!</v>
      </c>
    </row>
    <row r="18" spans="1:5" x14ac:dyDescent="0.2">
      <c r="A18" t="s">
        <v>82</v>
      </c>
      <c r="B18" t="s">
        <v>191</v>
      </c>
      <c r="C18" t="e">
        <f t="shared" si="0"/>
        <v>#REF!</v>
      </c>
      <c r="D18" t="s">
        <v>226</v>
      </c>
      <c r="E18" t="e">
        <f>INDEX(Bandwidth!#REF!,MATCH($A18,Bandwidth!#REF!,0),MATCH('CompilationCalcs - Bandwidth'!$D18,Bandwidth!#REF!,0))</f>
        <v>#REF!</v>
      </c>
    </row>
    <row r="19" spans="1:5" x14ac:dyDescent="0.2">
      <c r="A19" t="s">
        <v>82</v>
      </c>
      <c r="B19" t="s">
        <v>191</v>
      </c>
      <c r="C19" t="e">
        <f t="shared" si="0"/>
        <v>#REF!</v>
      </c>
      <c r="D19" t="s">
        <v>279</v>
      </c>
      <c r="E19" t="e">
        <f>INDEX(Bandwidth!#REF!,MATCH($A19,Bandwidth!#REF!,0),MATCH('CompilationCalcs - Bandwidth'!$D19,Bandwidth!#REF!,0))</f>
        <v>#REF!</v>
      </c>
    </row>
    <row r="20" spans="1:5" x14ac:dyDescent="0.2">
      <c r="A20" t="s">
        <v>127</v>
      </c>
      <c r="B20" t="s">
        <v>191</v>
      </c>
      <c r="C20" t="e">
        <f t="shared" si="0"/>
        <v>#REF!</v>
      </c>
      <c r="D20" t="s">
        <v>213</v>
      </c>
      <c r="E20" t="e">
        <f>INDEX(Bandwidth!#REF!,MATCH($A20,Bandwidth!#REF!,0),MATCH('CompilationCalcs - Bandwidth'!$D20,Bandwidth!#REF!,0))</f>
        <v>#REF!</v>
      </c>
    </row>
    <row r="21" spans="1:5" x14ac:dyDescent="0.2">
      <c r="A21" t="s">
        <v>127</v>
      </c>
      <c r="B21" t="s">
        <v>191</v>
      </c>
      <c r="C21" t="e">
        <f t="shared" si="0"/>
        <v>#REF!</v>
      </c>
      <c r="D21" t="s">
        <v>214</v>
      </c>
      <c r="E21" t="e">
        <f>INDEX(Bandwidth!#REF!,MATCH($A21,Bandwidth!#REF!,0),MATCH('CompilationCalcs - Bandwidth'!$D21,Bandwidth!#REF!,0))</f>
        <v>#REF!</v>
      </c>
    </row>
    <row r="22" spans="1:5" x14ac:dyDescent="0.2">
      <c r="A22" t="s">
        <v>127</v>
      </c>
      <c r="B22" t="s">
        <v>191</v>
      </c>
      <c r="C22" t="e">
        <f t="shared" si="0"/>
        <v>#REF!</v>
      </c>
      <c r="D22" t="s">
        <v>215</v>
      </c>
      <c r="E22" t="e">
        <f>INDEX(Bandwidth!#REF!,MATCH($A22,Bandwidth!#REF!,0),MATCH('CompilationCalcs - Bandwidth'!$D22,Bandwidth!#REF!,0))</f>
        <v>#REF!</v>
      </c>
    </row>
    <row r="23" spans="1:5" x14ac:dyDescent="0.2">
      <c r="A23" t="s">
        <v>127</v>
      </c>
      <c r="B23" t="s">
        <v>191</v>
      </c>
      <c r="C23" t="e">
        <f t="shared" si="0"/>
        <v>#REF!</v>
      </c>
      <c r="D23" t="s">
        <v>216</v>
      </c>
      <c r="E23" t="e">
        <f>INDEX(Bandwidth!#REF!,MATCH($A23,Bandwidth!#REF!,0),MATCH('CompilationCalcs - Bandwidth'!$D23,Bandwidth!#REF!,0))</f>
        <v>#REF!</v>
      </c>
    </row>
    <row r="24" spans="1:5" x14ac:dyDescent="0.2">
      <c r="A24" t="s">
        <v>127</v>
      </c>
      <c r="B24" t="s">
        <v>191</v>
      </c>
      <c r="C24" t="e">
        <f t="shared" si="0"/>
        <v>#REF!</v>
      </c>
      <c r="D24" t="s">
        <v>217</v>
      </c>
      <c r="E24" t="e">
        <f>INDEX(Bandwidth!#REF!,MATCH($A24,Bandwidth!#REF!,0),MATCH('CompilationCalcs - Bandwidth'!$D24,Bandwidth!#REF!,0))</f>
        <v>#REF!</v>
      </c>
    </row>
    <row r="25" spans="1:5" x14ac:dyDescent="0.2">
      <c r="A25" t="s">
        <v>127</v>
      </c>
      <c r="B25" t="s">
        <v>191</v>
      </c>
      <c r="C25" t="e">
        <f t="shared" si="0"/>
        <v>#REF!</v>
      </c>
      <c r="D25" t="s">
        <v>218</v>
      </c>
      <c r="E25" t="e">
        <f>INDEX(Bandwidth!#REF!,MATCH($A25,Bandwidth!#REF!,0),MATCH('CompilationCalcs - Bandwidth'!$D25,Bandwidth!#REF!,0))</f>
        <v>#REF!</v>
      </c>
    </row>
    <row r="26" spans="1:5" x14ac:dyDescent="0.2">
      <c r="A26" t="s">
        <v>127</v>
      </c>
      <c r="B26" t="s">
        <v>191</v>
      </c>
      <c r="C26" t="e">
        <f t="shared" si="0"/>
        <v>#REF!</v>
      </c>
      <c r="D26" t="s">
        <v>219</v>
      </c>
      <c r="E26" t="e">
        <f>INDEX(Bandwidth!#REF!,MATCH($A26,Bandwidth!#REF!,0),MATCH('CompilationCalcs - Bandwidth'!$D26,Bandwidth!#REF!,0))</f>
        <v>#REF!</v>
      </c>
    </row>
    <row r="27" spans="1:5" x14ac:dyDescent="0.2">
      <c r="A27" t="s">
        <v>127</v>
      </c>
      <c r="B27" t="s">
        <v>191</v>
      </c>
      <c r="C27" t="e">
        <f t="shared" si="0"/>
        <v>#REF!</v>
      </c>
      <c r="D27" t="s">
        <v>302</v>
      </c>
      <c r="E27" t="e">
        <f>INDEX(Bandwidth!#REF!,MATCH($A27,Bandwidth!#REF!,0),MATCH('CompilationCalcs - Bandwidth'!$D27,Bandwidth!#REF!,0))</f>
        <v>#REF!</v>
      </c>
    </row>
    <row r="28" spans="1:5" x14ac:dyDescent="0.2">
      <c r="A28" t="s">
        <v>127</v>
      </c>
      <c r="B28" t="s">
        <v>191</v>
      </c>
      <c r="C28" t="e">
        <f t="shared" si="0"/>
        <v>#REF!</v>
      </c>
      <c r="D28" t="s">
        <v>220</v>
      </c>
      <c r="E28" t="e">
        <f>INDEX(Bandwidth!#REF!,MATCH($A28,Bandwidth!#REF!,0),MATCH('CompilationCalcs - Bandwidth'!$D28,Bandwidth!#REF!,0))</f>
        <v>#REF!</v>
      </c>
    </row>
    <row r="29" spans="1:5" x14ac:dyDescent="0.2">
      <c r="A29" t="s">
        <v>127</v>
      </c>
      <c r="B29" t="s">
        <v>191</v>
      </c>
      <c r="C29" t="e">
        <f t="shared" si="0"/>
        <v>#REF!</v>
      </c>
      <c r="D29" t="s">
        <v>221</v>
      </c>
      <c r="E29" t="e">
        <f>INDEX(Bandwidth!#REF!,MATCH($A29,Bandwidth!#REF!,0),MATCH('CompilationCalcs - Bandwidth'!$D29,Bandwidth!#REF!,0))</f>
        <v>#REF!</v>
      </c>
    </row>
    <row r="30" spans="1:5" x14ac:dyDescent="0.2">
      <c r="A30" t="s">
        <v>127</v>
      </c>
      <c r="B30" t="s">
        <v>191</v>
      </c>
      <c r="C30" t="e">
        <f t="shared" si="0"/>
        <v>#REF!</v>
      </c>
      <c r="D30" t="s">
        <v>222</v>
      </c>
      <c r="E30" t="e">
        <f>INDEX(Bandwidth!#REF!,MATCH($A30,Bandwidth!#REF!,0),MATCH('CompilationCalcs - Bandwidth'!$D30,Bandwidth!#REF!,0))</f>
        <v>#REF!</v>
      </c>
    </row>
    <row r="31" spans="1:5" x14ac:dyDescent="0.2">
      <c r="A31" t="s">
        <v>127</v>
      </c>
      <c r="B31" t="s">
        <v>191</v>
      </c>
      <c r="C31" t="e">
        <f t="shared" si="0"/>
        <v>#REF!</v>
      </c>
      <c r="D31" t="s">
        <v>223</v>
      </c>
      <c r="E31" t="e">
        <f>INDEX(Bandwidth!#REF!,MATCH($A31,Bandwidth!#REF!,0),MATCH('CompilationCalcs - Bandwidth'!$D31,Bandwidth!#REF!,0))</f>
        <v>#REF!</v>
      </c>
    </row>
    <row r="32" spans="1:5" x14ac:dyDescent="0.2">
      <c r="A32" t="s">
        <v>127</v>
      </c>
      <c r="B32" t="s">
        <v>191</v>
      </c>
      <c r="C32" t="e">
        <f t="shared" si="0"/>
        <v>#REF!</v>
      </c>
      <c r="D32" t="s">
        <v>224</v>
      </c>
      <c r="E32" t="e">
        <f>INDEX(Bandwidth!#REF!,MATCH($A32,Bandwidth!#REF!,0),MATCH('CompilationCalcs - Bandwidth'!$D32,Bandwidth!#REF!,0))</f>
        <v>#REF!</v>
      </c>
    </row>
    <row r="33" spans="1:5" x14ac:dyDescent="0.2">
      <c r="A33" t="s">
        <v>127</v>
      </c>
      <c r="B33" t="s">
        <v>191</v>
      </c>
      <c r="C33" t="e">
        <f t="shared" si="0"/>
        <v>#REF!</v>
      </c>
      <c r="D33" t="s">
        <v>225</v>
      </c>
      <c r="E33" t="e">
        <f>INDEX(Bandwidth!#REF!,MATCH($A33,Bandwidth!#REF!,0),MATCH('CompilationCalcs - Bandwidth'!$D33,Bandwidth!#REF!,0))</f>
        <v>#REF!</v>
      </c>
    </row>
    <row r="34" spans="1:5" x14ac:dyDescent="0.2">
      <c r="A34" t="s">
        <v>127</v>
      </c>
      <c r="B34" t="s">
        <v>191</v>
      </c>
      <c r="C34" t="e">
        <f t="shared" si="0"/>
        <v>#REF!</v>
      </c>
      <c r="D34" t="s">
        <v>226</v>
      </c>
      <c r="E34" t="e">
        <f>INDEX(Bandwidth!#REF!,MATCH($A34,Bandwidth!#REF!,0),MATCH('CompilationCalcs - Bandwidth'!$D34,Bandwidth!#REF!,0))</f>
        <v>#REF!</v>
      </c>
    </row>
    <row r="35" spans="1:5" x14ac:dyDescent="0.2">
      <c r="A35" t="s">
        <v>127</v>
      </c>
      <c r="B35" t="s">
        <v>191</v>
      </c>
      <c r="C35" t="e">
        <f t="shared" si="0"/>
        <v>#REF!</v>
      </c>
      <c r="D35" t="s">
        <v>279</v>
      </c>
      <c r="E35" t="e">
        <f>INDEX(Bandwidth!#REF!,MATCH($A35,Bandwidth!#REF!,0),MATCH('CompilationCalcs - Bandwidth'!$D35,Bandwidth!#REF!,0))</f>
        <v>#REF!</v>
      </c>
    </row>
    <row r="36" spans="1:5" x14ac:dyDescent="0.2">
      <c r="A36" t="s">
        <v>8</v>
      </c>
      <c r="B36" t="s">
        <v>191</v>
      </c>
      <c r="C36" t="e">
        <f t="shared" ref="C36:C51" si="1">E36</f>
        <v>#REF!</v>
      </c>
      <c r="D36" t="s">
        <v>213</v>
      </c>
      <c r="E36" t="e">
        <f>INDEX(Bandwidth!#REF!,MATCH($A36,Bandwidth!#REF!,0),MATCH('CompilationCalcs - Bandwidth'!$D36,Bandwidth!#REF!,0))</f>
        <v>#REF!</v>
      </c>
    </row>
    <row r="37" spans="1:5" x14ac:dyDescent="0.2">
      <c r="A37" t="s">
        <v>8</v>
      </c>
      <c r="B37" t="s">
        <v>191</v>
      </c>
      <c r="C37" t="e">
        <f t="shared" si="1"/>
        <v>#REF!</v>
      </c>
      <c r="D37" t="s">
        <v>214</v>
      </c>
      <c r="E37" t="e">
        <f>INDEX(Bandwidth!#REF!,MATCH($A37,Bandwidth!#REF!,0),MATCH('CompilationCalcs - Bandwidth'!$D37,Bandwidth!#REF!,0))</f>
        <v>#REF!</v>
      </c>
    </row>
    <row r="38" spans="1:5" x14ac:dyDescent="0.2">
      <c r="A38" t="s">
        <v>8</v>
      </c>
      <c r="B38" t="s">
        <v>191</v>
      </c>
      <c r="C38" t="e">
        <f t="shared" si="1"/>
        <v>#REF!</v>
      </c>
      <c r="D38" t="s">
        <v>215</v>
      </c>
      <c r="E38" t="e">
        <f>INDEX(Bandwidth!#REF!,MATCH($A38,Bandwidth!#REF!,0),MATCH('CompilationCalcs - Bandwidth'!$D38,Bandwidth!#REF!,0))</f>
        <v>#REF!</v>
      </c>
    </row>
    <row r="39" spans="1:5" x14ac:dyDescent="0.2">
      <c r="A39" t="s">
        <v>8</v>
      </c>
      <c r="B39" t="s">
        <v>191</v>
      </c>
      <c r="C39" t="e">
        <f t="shared" si="1"/>
        <v>#REF!</v>
      </c>
      <c r="D39" t="s">
        <v>216</v>
      </c>
      <c r="E39" t="e">
        <f>INDEX(Bandwidth!#REF!,MATCH($A39,Bandwidth!#REF!,0),MATCH('CompilationCalcs - Bandwidth'!$D39,Bandwidth!#REF!,0))</f>
        <v>#REF!</v>
      </c>
    </row>
    <row r="40" spans="1:5" x14ac:dyDescent="0.2">
      <c r="A40" t="s">
        <v>8</v>
      </c>
      <c r="B40" t="s">
        <v>191</v>
      </c>
      <c r="C40" t="e">
        <f t="shared" si="1"/>
        <v>#REF!</v>
      </c>
      <c r="D40" t="s">
        <v>217</v>
      </c>
      <c r="E40" t="e">
        <f>INDEX(Bandwidth!#REF!,MATCH($A40,Bandwidth!#REF!,0),MATCH('CompilationCalcs - Bandwidth'!$D40,Bandwidth!#REF!,0))</f>
        <v>#REF!</v>
      </c>
    </row>
    <row r="41" spans="1:5" x14ac:dyDescent="0.2">
      <c r="A41" t="s">
        <v>8</v>
      </c>
      <c r="B41" t="s">
        <v>191</v>
      </c>
      <c r="C41" t="e">
        <f t="shared" si="1"/>
        <v>#REF!</v>
      </c>
      <c r="D41" t="s">
        <v>218</v>
      </c>
      <c r="E41" t="e">
        <f>INDEX(Bandwidth!#REF!,MATCH($A41,Bandwidth!#REF!,0),MATCH('CompilationCalcs - Bandwidth'!$D41,Bandwidth!#REF!,0))</f>
        <v>#REF!</v>
      </c>
    </row>
    <row r="42" spans="1:5" x14ac:dyDescent="0.2">
      <c r="A42" t="s">
        <v>8</v>
      </c>
      <c r="B42" t="s">
        <v>191</v>
      </c>
      <c r="C42" t="e">
        <f t="shared" si="1"/>
        <v>#REF!</v>
      </c>
      <c r="D42" t="s">
        <v>219</v>
      </c>
      <c r="E42" t="e">
        <f>INDEX(Bandwidth!#REF!,MATCH($A42,Bandwidth!#REF!,0),MATCH('CompilationCalcs - Bandwidth'!$D42,Bandwidth!#REF!,0))</f>
        <v>#REF!</v>
      </c>
    </row>
    <row r="43" spans="1:5" x14ac:dyDescent="0.2">
      <c r="A43" t="s">
        <v>8</v>
      </c>
      <c r="B43" t="s">
        <v>191</v>
      </c>
      <c r="C43" t="e">
        <f t="shared" si="1"/>
        <v>#REF!</v>
      </c>
      <c r="D43" t="s">
        <v>302</v>
      </c>
      <c r="E43" t="e">
        <f>INDEX(Bandwidth!#REF!,MATCH($A43,Bandwidth!#REF!,0),MATCH('CompilationCalcs - Bandwidth'!$D43,Bandwidth!#REF!,0))</f>
        <v>#REF!</v>
      </c>
    </row>
    <row r="44" spans="1:5" x14ac:dyDescent="0.2">
      <c r="A44" t="s">
        <v>8</v>
      </c>
      <c r="B44" t="s">
        <v>191</v>
      </c>
      <c r="C44" t="e">
        <f t="shared" si="1"/>
        <v>#REF!</v>
      </c>
      <c r="D44" t="s">
        <v>220</v>
      </c>
      <c r="E44" t="e">
        <f>INDEX(Bandwidth!#REF!,MATCH($A44,Bandwidth!#REF!,0),MATCH('CompilationCalcs - Bandwidth'!$D44,Bandwidth!#REF!,0))</f>
        <v>#REF!</v>
      </c>
    </row>
    <row r="45" spans="1:5" x14ac:dyDescent="0.2">
      <c r="A45" t="s">
        <v>8</v>
      </c>
      <c r="B45" t="s">
        <v>191</v>
      </c>
      <c r="C45" t="e">
        <f t="shared" si="1"/>
        <v>#REF!</v>
      </c>
      <c r="D45" t="s">
        <v>221</v>
      </c>
      <c r="E45" t="e">
        <f>INDEX(Bandwidth!#REF!,MATCH($A45,Bandwidth!#REF!,0),MATCH('CompilationCalcs - Bandwidth'!$D45,Bandwidth!#REF!,0))</f>
        <v>#REF!</v>
      </c>
    </row>
    <row r="46" spans="1:5" x14ac:dyDescent="0.2">
      <c r="A46" t="s">
        <v>8</v>
      </c>
      <c r="B46" t="s">
        <v>191</v>
      </c>
      <c r="C46" t="e">
        <f t="shared" si="1"/>
        <v>#REF!</v>
      </c>
      <c r="D46" t="s">
        <v>222</v>
      </c>
      <c r="E46" t="e">
        <f>INDEX(Bandwidth!#REF!,MATCH($A46,Bandwidth!#REF!,0),MATCH('CompilationCalcs - Bandwidth'!$D46,Bandwidth!#REF!,0))</f>
        <v>#REF!</v>
      </c>
    </row>
    <row r="47" spans="1:5" x14ac:dyDescent="0.2">
      <c r="A47" t="s">
        <v>8</v>
      </c>
      <c r="B47" t="s">
        <v>191</v>
      </c>
      <c r="C47" t="e">
        <f t="shared" si="1"/>
        <v>#REF!</v>
      </c>
      <c r="D47" t="s">
        <v>223</v>
      </c>
      <c r="E47" t="e">
        <f>INDEX(Bandwidth!#REF!,MATCH($A47,Bandwidth!#REF!,0),MATCH('CompilationCalcs - Bandwidth'!$D47,Bandwidth!#REF!,0))</f>
        <v>#REF!</v>
      </c>
    </row>
    <row r="48" spans="1:5" x14ac:dyDescent="0.2">
      <c r="A48" t="s">
        <v>8</v>
      </c>
      <c r="B48" t="s">
        <v>191</v>
      </c>
      <c r="C48" t="e">
        <f t="shared" si="1"/>
        <v>#REF!</v>
      </c>
      <c r="D48" t="s">
        <v>224</v>
      </c>
      <c r="E48" t="e">
        <f>INDEX(Bandwidth!#REF!,MATCH($A48,Bandwidth!#REF!,0),MATCH('CompilationCalcs - Bandwidth'!$D48,Bandwidth!#REF!,0))</f>
        <v>#REF!</v>
      </c>
    </row>
    <row r="49" spans="1:5" x14ac:dyDescent="0.2">
      <c r="A49" t="s">
        <v>8</v>
      </c>
      <c r="B49" t="s">
        <v>191</v>
      </c>
      <c r="C49" t="e">
        <f t="shared" si="1"/>
        <v>#REF!</v>
      </c>
      <c r="D49" t="s">
        <v>225</v>
      </c>
      <c r="E49" t="e">
        <f>INDEX(Bandwidth!#REF!,MATCH($A49,Bandwidth!#REF!,0),MATCH('CompilationCalcs - Bandwidth'!$D49,Bandwidth!#REF!,0))</f>
        <v>#REF!</v>
      </c>
    </row>
    <row r="50" spans="1:5" x14ac:dyDescent="0.2">
      <c r="A50" t="s">
        <v>8</v>
      </c>
      <c r="B50" t="s">
        <v>191</v>
      </c>
      <c r="C50" t="e">
        <f t="shared" si="1"/>
        <v>#REF!</v>
      </c>
      <c r="D50" t="s">
        <v>226</v>
      </c>
      <c r="E50" t="e">
        <f>INDEX(Bandwidth!#REF!,MATCH($A50,Bandwidth!#REF!,0),MATCH('CompilationCalcs - Bandwidth'!$D50,Bandwidth!#REF!,0))</f>
        <v>#REF!</v>
      </c>
    </row>
    <row r="51" spans="1:5" x14ac:dyDescent="0.2">
      <c r="A51" t="s">
        <v>8</v>
      </c>
      <c r="B51" t="s">
        <v>191</v>
      </c>
      <c r="C51" t="e">
        <f t="shared" si="1"/>
        <v>#REF!</v>
      </c>
      <c r="D51" t="s">
        <v>279</v>
      </c>
      <c r="E51" t="e">
        <f>INDEX(Bandwidth!#REF!,MATCH($A51,Bandwidth!#REF!,0),MATCH('CompilationCalcs - Bandwidth'!$D51,Bandwidth!#REF!,0))</f>
        <v>#REF!</v>
      </c>
    </row>
    <row r="52" spans="1:5" x14ac:dyDescent="0.2">
      <c r="A52" t="s">
        <v>19</v>
      </c>
      <c r="B52" t="s">
        <v>191</v>
      </c>
      <c r="C52" t="e">
        <f t="shared" ref="C52:C67" si="2">E52</f>
        <v>#REF!</v>
      </c>
      <c r="D52" t="s">
        <v>213</v>
      </c>
      <c r="E52" t="e">
        <f>INDEX(Bandwidth!#REF!,MATCH($A52,Bandwidth!#REF!,0),MATCH('CompilationCalcs - Bandwidth'!$D52,Bandwidth!#REF!,0))</f>
        <v>#REF!</v>
      </c>
    </row>
    <row r="53" spans="1:5" x14ac:dyDescent="0.2">
      <c r="A53" t="s">
        <v>19</v>
      </c>
      <c r="B53" t="s">
        <v>191</v>
      </c>
      <c r="C53" t="e">
        <f t="shared" si="2"/>
        <v>#REF!</v>
      </c>
      <c r="D53" t="s">
        <v>214</v>
      </c>
      <c r="E53" t="e">
        <f>INDEX(Bandwidth!#REF!,MATCH($A53,Bandwidth!#REF!,0),MATCH('CompilationCalcs - Bandwidth'!$D53,Bandwidth!#REF!,0))</f>
        <v>#REF!</v>
      </c>
    </row>
    <row r="54" spans="1:5" x14ac:dyDescent="0.2">
      <c r="A54" t="s">
        <v>19</v>
      </c>
      <c r="B54" t="s">
        <v>191</v>
      </c>
      <c r="C54" t="e">
        <f t="shared" si="2"/>
        <v>#REF!</v>
      </c>
      <c r="D54" t="s">
        <v>215</v>
      </c>
      <c r="E54" t="e">
        <f>INDEX(Bandwidth!#REF!,MATCH($A54,Bandwidth!#REF!,0),MATCH('CompilationCalcs - Bandwidth'!$D54,Bandwidth!#REF!,0))</f>
        <v>#REF!</v>
      </c>
    </row>
    <row r="55" spans="1:5" x14ac:dyDescent="0.2">
      <c r="A55" t="s">
        <v>19</v>
      </c>
      <c r="B55" t="s">
        <v>191</v>
      </c>
      <c r="C55" t="e">
        <f t="shared" si="2"/>
        <v>#REF!</v>
      </c>
      <c r="D55" t="s">
        <v>216</v>
      </c>
      <c r="E55" t="e">
        <f>INDEX(Bandwidth!#REF!,MATCH($A55,Bandwidth!#REF!,0),MATCH('CompilationCalcs - Bandwidth'!$D55,Bandwidth!#REF!,0))</f>
        <v>#REF!</v>
      </c>
    </row>
    <row r="56" spans="1:5" x14ac:dyDescent="0.2">
      <c r="A56" t="s">
        <v>19</v>
      </c>
      <c r="B56" t="s">
        <v>191</v>
      </c>
      <c r="C56" t="e">
        <f t="shared" si="2"/>
        <v>#REF!</v>
      </c>
      <c r="D56" t="s">
        <v>217</v>
      </c>
      <c r="E56" t="e">
        <f>INDEX(Bandwidth!#REF!,MATCH($A56,Bandwidth!#REF!,0),MATCH('CompilationCalcs - Bandwidth'!$D56,Bandwidth!#REF!,0))</f>
        <v>#REF!</v>
      </c>
    </row>
    <row r="57" spans="1:5" x14ac:dyDescent="0.2">
      <c r="A57" t="s">
        <v>19</v>
      </c>
      <c r="B57" t="s">
        <v>191</v>
      </c>
      <c r="C57" t="e">
        <f t="shared" si="2"/>
        <v>#REF!</v>
      </c>
      <c r="D57" t="s">
        <v>218</v>
      </c>
      <c r="E57" t="e">
        <f>INDEX(Bandwidth!#REF!,MATCH($A57,Bandwidth!#REF!,0),MATCH('CompilationCalcs - Bandwidth'!$D57,Bandwidth!#REF!,0))</f>
        <v>#REF!</v>
      </c>
    </row>
    <row r="58" spans="1:5" x14ac:dyDescent="0.2">
      <c r="A58" t="s">
        <v>19</v>
      </c>
      <c r="B58" t="s">
        <v>191</v>
      </c>
      <c r="C58" t="e">
        <f t="shared" si="2"/>
        <v>#REF!</v>
      </c>
      <c r="D58" t="s">
        <v>219</v>
      </c>
      <c r="E58" t="e">
        <f>INDEX(Bandwidth!#REF!,MATCH($A58,Bandwidth!#REF!,0),MATCH('CompilationCalcs - Bandwidth'!$D58,Bandwidth!#REF!,0))</f>
        <v>#REF!</v>
      </c>
    </row>
    <row r="59" spans="1:5" x14ac:dyDescent="0.2">
      <c r="A59" t="s">
        <v>19</v>
      </c>
      <c r="B59" t="s">
        <v>191</v>
      </c>
      <c r="C59" t="e">
        <f t="shared" si="2"/>
        <v>#REF!</v>
      </c>
      <c r="D59" t="s">
        <v>302</v>
      </c>
      <c r="E59" t="e">
        <f>INDEX(Bandwidth!#REF!,MATCH($A59,Bandwidth!#REF!,0),MATCH('CompilationCalcs - Bandwidth'!$D59,Bandwidth!#REF!,0))</f>
        <v>#REF!</v>
      </c>
    </row>
    <row r="60" spans="1:5" x14ac:dyDescent="0.2">
      <c r="A60" t="s">
        <v>19</v>
      </c>
      <c r="B60" t="s">
        <v>191</v>
      </c>
      <c r="C60" t="e">
        <f t="shared" si="2"/>
        <v>#REF!</v>
      </c>
      <c r="D60" t="s">
        <v>220</v>
      </c>
      <c r="E60" t="e">
        <f>INDEX(Bandwidth!#REF!,MATCH($A60,Bandwidth!#REF!,0),MATCH('CompilationCalcs - Bandwidth'!$D60,Bandwidth!#REF!,0))</f>
        <v>#REF!</v>
      </c>
    </row>
    <row r="61" spans="1:5" x14ac:dyDescent="0.2">
      <c r="A61" t="s">
        <v>19</v>
      </c>
      <c r="B61" t="s">
        <v>191</v>
      </c>
      <c r="C61" t="e">
        <f t="shared" si="2"/>
        <v>#REF!</v>
      </c>
      <c r="D61" t="s">
        <v>221</v>
      </c>
      <c r="E61" t="e">
        <f>INDEX(Bandwidth!#REF!,MATCH($A61,Bandwidth!#REF!,0),MATCH('CompilationCalcs - Bandwidth'!$D61,Bandwidth!#REF!,0))</f>
        <v>#REF!</v>
      </c>
    </row>
    <row r="62" spans="1:5" x14ac:dyDescent="0.2">
      <c r="A62" t="s">
        <v>19</v>
      </c>
      <c r="B62" t="s">
        <v>191</v>
      </c>
      <c r="C62" t="e">
        <f t="shared" si="2"/>
        <v>#REF!</v>
      </c>
      <c r="D62" t="s">
        <v>222</v>
      </c>
      <c r="E62" t="e">
        <f>INDEX(Bandwidth!#REF!,MATCH($A62,Bandwidth!#REF!,0),MATCH('CompilationCalcs - Bandwidth'!$D62,Bandwidth!#REF!,0))</f>
        <v>#REF!</v>
      </c>
    </row>
    <row r="63" spans="1:5" x14ac:dyDescent="0.2">
      <c r="A63" t="s">
        <v>19</v>
      </c>
      <c r="B63" t="s">
        <v>191</v>
      </c>
      <c r="C63" t="e">
        <f t="shared" si="2"/>
        <v>#REF!</v>
      </c>
      <c r="D63" t="s">
        <v>223</v>
      </c>
      <c r="E63" t="e">
        <f>INDEX(Bandwidth!#REF!,MATCH($A63,Bandwidth!#REF!,0),MATCH('CompilationCalcs - Bandwidth'!$D63,Bandwidth!#REF!,0))</f>
        <v>#REF!</v>
      </c>
    </row>
    <row r="64" spans="1:5" x14ac:dyDescent="0.2">
      <c r="A64" t="s">
        <v>19</v>
      </c>
      <c r="B64" t="s">
        <v>191</v>
      </c>
      <c r="C64" t="e">
        <f t="shared" si="2"/>
        <v>#REF!</v>
      </c>
      <c r="D64" t="s">
        <v>224</v>
      </c>
      <c r="E64" t="e">
        <f>INDEX(Bandwidth!#REF!,MATCH($A64,Bandwidth!#REF!,0),MATCH('CompilationCalcs - Bandwidth'!$D64,Bandwidth!#REF!,0))</f>
        <v>#REF!</v>
      </c>
    </row>
    <row r="65" spans="1:5" x14ac:dyDescent="0.2">
      <c r="A65" t="s">
        <v>19</v>
      </c>
      <c r="B65" t="s">
        <v>191</v>
      </c>
      <c r="C65" t="e">
        <f t="shared" si="2"/>
        <v>#REF!</v>
      </c>
      <c r="D65" t="s">
        <v>225</v>
      </c>
      <c r="E65" t="e">
        <f>INDEX(Bandwidth!#REF!,MATCH($A65,Bandwidth!#REF!,0),MATCH('CompilationCalcs - Bandwidth'!$D65,Bandwidth!#REF!,0))</f>
        <v>#REF!</v>
      </c>
    </row>
    <row r="66" spans="1:5" x14ac:dyDescent="0.2">
      <c r="A66" t="s">
        <v>19</v>
      </c>
      <c r="B66" t="s">
        <v>191</v>
      </c>
      <c r="C66" t="e">
        <f t="shared" si="2"/>
        <v>#REF!</v>
      </c>
      <c r="D66" t="s">
        <v>226</v>
      </c>
      <c r="E66" t="e">
        <f>INDEX(Bandwidth!#REF!,MATCH($A66,Bandwidth!#REF!,0),MATCH('CompilationCalcs - Bandwidth'!$D66,Bandwidth!#REF!,0))</f>
        <v>#REF!</v>
      </c>
    </row>
    <row r="67" spans="1:5" x14ac:dyDescent="0.2">
      <c r="A67" t="s">
        <v>19</v>
      </c>
      <c r="B67" t="s">
        <v>191</v>
      </c>
      <c r="C67" t="e">
        <f t="shared" si="2"/>
        <v>#REF!</v>
      </c>
      <c r="D67" t="s">
        <v>279</v>
      </c>
      <c r="E67" t="e">
        <f>INDEX(Bandwidth!#REF!,MATCH($A67,Bandwidth!#REF!,0),MATCH('CompilationCalcs - Bandwidth'!$D67,Bandwidth!#REF!,0))</f>
        <v>#REF!</v>
      </c>
    </row>
    <row r="68" spans="1:5" x14ac:dyDescent="0.2">
      <c r="A68" t="s">
        <v>1</v>
      </c>
      <c r="B68" t="s">
        <v>191</v>
      </c>
      <c r="C68" t="e">
        <f t="shared" ref="C68:C83" si="3">E68</f>
        <v>#REF!</v>
      </c>
      <c r="D68" t="s">
        <v>213</v>
      </c>
      <c r="E68" t="e">
        <f>INDEX(Bandwidth!#REF!,MATCH($A68,Bandwidth!#REF!,0),MATCH('CompilationCalcs - Bandwidth'!$D68,Bandwidth!#REF!,0))</f>
        <v>#REF!</v>
      </c>
    </row>
    <row r="69" spans="1:5" x14ac:dyDescent="0.2">
      <c r="A69" t="s">
        <v>1</v>
      </c>
      <c r="B69" t="s">
        <v>191</v>
      </c>
      <c r="C69" t="e">
        <f t="shared" si="3"/>
        <v>#REF!</v>
      </c>
      <c r="D69" t="s">
        <v>214</v>
      </c>
      <c r="E69" t="e">
        <f>INDEX(Bandwidth!#REF!,MATCH($A69,Bandwidth!#REF!,0),MATCH('CompilationCalcs - Bandwidth'!$D69,Bandwidth!#REF!,0))</f>
        <v>#REF!</v>
      </c>
    </row>
    <row r="70" spans="1:5" x14ac:dyDescent="0.2">
      <c r="A70" t="s">
        <v>1</v>
      </c>
      <c r="B70" t="s">
        <v>191</v>
      </c>
      <c r="C70" t="e">
        <f t="shared" si="3"/>
        <v>#REF!</v>
      </c>
      <c r="D70" t="s">
        <v>215</v>
      </c>
      <c r="E70" t="e">
        <f>INDEX(Bandwidth!#REF!,MATCH($A70,Bandwidth!#REF!,0),MATCH('CompilationCalcs - Bandwidth'!$D70,Bandwidth!#REF!,0))</f>
        <v>#REF!</v>
      </c>
    </row>
    <row r="71" spans="1:5" x14ac:dyDescent="0.2">
      <c r="A71" t="s">
        <v>1</v>
      </c>
      <c r="B71" t="s">
        <v>191</v>
      </c>
      <c r="C71" t="e">
        <f t="shared" si="3"/>
        <v>#REF!</v>
      </c>
      <c r="D71" t="s">
        <v>216</v>
      </c>
      <c r="E71" t="e">
        <f>INDEX(Bandwidth!#REF!,MATCH($A71,Bandwidth!#REF!,0),MATCH('CompilationCalcs - Bandwidth'!$D71,Bandwidth!#REF!,0))</f>
        <v>#REF!</v>
      </c>
    </row>
    <row r="72" spans="1:5" x14ac:dyDescent="0.2">
      <c r="A72" t="s">
        <v>1</v>
      </c>
      <c r="B72" t="s">
        <v>191</v>
      </c>
      <c r="C72" t="e">
        <f t="shared" si="3"/>
        <v>#REF!</v>
      </c>
      <c r="D72" t="s">
        <v>217</v>
      </c>
      <c r="E72" t="e">
        <f>INDEX(Bandwidth!#REF!,MATCH($A72,Bandwidth!#REF!,0),MATCH('CompilationCalcs - Bandwidth'!$D72,Bandwidth!#REF!,0))</f>
        <v>#REF!</v>
      </c>
    </row>
    <row r="73" spans="1:5" x14ac:dyDescent="0.2">
      <c r="A73" t="s">
        <v>1</v>
      </c>
      <c r="B73" t="s">
        <v>191</v>
      </c>
      <c r="C73" t="e">
        <f t="shared" si="3"/>
        <v>#REF!</v>
      </c>
      <c r="D73" t="s">
        <v>218</v>
      </c>
      <c r="E73" t="e">
        <f>INDEX(Bandwidth!#REF!,MATCH($A73,Bandwidth!#REF!,0),MATCH('CompilationCalcs - Bandwidth'!$D73,Bandwidth!#REF!,0))</f>
        <v>#REF!</v>
      </c>
    </row>
    <row r="74" spans="1:5" x14ac:dyDescent="0.2">
      <c r="A74" t="s">
        <v>1</v>
      </c>
      <c r="B74" t="s">
        <v>191</v>
      </c>
      <c r="C74" t="e">
        <f t="shared" si="3"/>
        <v>#REF!</v>
      </c>
      <c r="D74" t="s">
        <v>219</v>
      </c>
      <c r="E74" t="e">
        <f>INDEX(Bandwidth!#REF!,MATCH($A74,Bandwidth!#REF!,0),MATCH('CompilationCalcs - Bandwidth'!$D74,Bandwidth!#REF!,0))</f>
        <v>#REF!</v>
      </c>
    </row>
    <row r="75" spans="1:5" x14ac:dyDescent="0.2">
      <c r="A75" t="s">
        <v>1</v>
      </c>
      <c r="B75" t="s">
        <v>191</v>
      </c>
      <c r="C75" t="e">
        <f t="shared" si="3"/>
        <v>#REF!</v>
      </c>
      <c r="D75" t="s">
        <v>302</v>
      </c>
      <c r="E75" t="e">
        <f>INDEX(Bandwidth!#REF!,MATCH($A75,Bandwidth!#REF!,0),MATCH('CompilationCalcs - Bandwidth'!$D75,Bandwidth!#REF!,0))</f>
        <v>#REF!</v>
      </c>
    </row>
    <row r="76" spans="1:5" x14ac:dyDescent="0.2">
      <c r="A76" t="s">
        <v>1</v>
      </c>
      <c r="B76" t="s">
        <v>191</v>
      </c>
      <c r="C76" t="e">
        <f t="shared" si="3"/>
        <v>#REF!</v>
      </c>
      <c r="D76" t="s">
        <v>220</v>
      </c>
      <c r="E76" t="e">
        <f>INDEX(Bandwidth!#REF!,MATCH($A76,Bandwidth!#REF!,0),MATCH('CompilationCalcs - Bandwidth'!$D76,Bandwidth!#REF!,0))</f>
        <v>#REF!</v>
      </c>
    </row>
    <row r="77" spans="1:5" x14ac:dyDescent="0.2">
      <c r="A77" t="s">
        <v>1</v>
      </c>
      <c r="B77" t="s">
        <v>191</v>
      </c>
      <c r="C77" t="e">
        <f t="shared" si="3"/>
        <v>#REF!</v>
      </c>
      <c r="D77" t="s">
        <v>221</v>
      </c>
      <c r="E77" t="e">
        <f>INDEX(Bandwidth!#REF!,MATCH($A77,Bandwidth!#REF!,0),MATCH('CompilationCalcs - Bandwidth'!$D77,Bandwidth!#REF!,0))</f>
        <v>#REF!</v>
      </c>
    </row>
    <row r="78" spans="1:5" x14ac:dyDescent="0.2">
      <c r="A78" t="s">
        <v>1</v>
      </c>
      <c r="B78" t="s">
        <v>191</v>
      </c>
      <c r="C78" t="e">
        <f t="shared" si="3"/>
        <v>#REF!</v>
      </c>
      <c r="D78" t="s">
        <v>222</v>
      </c>
      <c r="E78" t="e">
        <f>INDEX(Bandwidth!#REF!,MATCH($A78,Bandwidth!#REF!,0),MATCH('CompilationCalcs - Bandwidth'!$D78,Bandwidth!#REF!,0))</f>
        <v>#REF!</v>
      </c>
    </row>
    <row r="79" spans="1:5" x14ac:dyDescent="0.2">
      <c r="A79" t="s">
        <v>1</v>
      </c>
      <c r="B79" t="s">
        <v>191</v>
      </c>
      <c r="C79" t="e">
        <f t="shared" si="3"/>
        <v>#REF!</v>
      </c>
      <c r="D79" t="s">
        <v>223</v>
      </c>
      <c r="E79" t="e">
        <f>INDEX(Bandwidth!#REF!,MATCH($A79,Bandwidth!#REF!,0),MATCH('CompilationCalcs - Bandwidth'!$D79,Bandwidth!#REF!,0))</f>
        <v>#REF!</v>
      </c>
    </row>
    <row r="80" spans="1:5" x14ac:dyDescent="0.2">
      <c r="A80" t="s">
        <v>1</v>
      </c>
      <c r="B80" t="s">
        <v>191</v>
      </c>
      <c r="C80" t="e">
        <f t="shared" si="3"/>
        <v>#REF!</v>
      </c>
      <c r="D80" t="s">
        <v>224</v>
      </c>
      <c r="E80" t="e">
        <f>INDEX(Bandwidth!#REF!,MATCH($A80,Bandwidth!#REF!,0),MATCH('CompilationCalcs - Bandwidth'!$D80,Bandwidth!#REF!,0))</f>
        <v>#REF!</v>
      </c>
    </row>
    <row r="81" spans="1:5" x14ac:dyDescent="0.2">
      <c r="A81" t="s">
        <v>1</v>
      </c>
      <c r="B81" t="s">
        <v>191</v>
      </c>
      <c r="C81" t="e">
        <f t="shared" si="3"/>
        <v>#REF!</v>
      </c>
      <c r="D81" t="s">
        <v>225</v>
      </c>
      <c r="E81" t="e">
        <f>INDEX(Bandwidth!#REF!,MATCH($A81,Bandwidth!#REF!,0),MATCH('CompilationCalcs - Bandwidth'!$D81,Bandwidth!#REF!,0))</f>
        <v>#REF!</v>
      </c>
    </row>
    <row r="82" spans="1:5" x14ac:dyDescent="0.2">
      <c r="A82" t="s">
        <v>1</v>
      </c>
      <c r="B82" t="s">
        <v>191</v>
      </c>
      <c r="C82" t="e">
        <f t="shared" si="3"/>
        <v>#REF!</v>
      </c>
      <c r="D82" t="s">
        <v>226</v>
      </c>
      <c r="E82" t="e">
        <f>INDEX(Bandwidth!#REF!,MATCH($A82,Bandwidth!#REF!,0),MATCH('CompilationCalcs - Bandwidth'!$D82,Bandwidth!#REF!,0))</f>
        <v>#REF!</v>
      </c>
    </row>
    <row r="83" spans="1:5" x14ac:dyDescent="0.2">
      <c r="A83" t="s">
        <v>1</v>
      </c>
      <c r="B83" t="s">
        <v>191</v>
      </c>
      <c r="C83" t="e">
        <f t="shared" si="3"/>
        <v>#REF!</v>
      </c>
      <c r="D83" t="s">
        <v>279</v>
      </c>
      <c r="E83" t="e">
        <f>INDEX(Bandwidth!#REF!,MATCH($A83,Bandwidth!#REF!,0),MATCH('CompilationCalcs - Bandwidth'!$D83,Bandwidth!#REF!,0))</f>
        <v>#REF!</v>
      </c>
    </row>
    <row r="84" spans="1:5" x14ac:dyDescent="0.2">
      <c r="A84" t="s">
        <v>10</v>
      </c>
      <c r="B84" t="s">
        <v>191</v>
      </c>
      <c r="C84" t="e">
        <f t="shared" ref="C84:C99" si="4">E84</f>
        <v>#REF!</v>
      </c>
      <c r="D84" t="s">
        <v>213</v>
      </c>
      <c r="E84" t="e">
        <f>INDEX(Bandwidth!#REF!,MATCH($A84,Bandwidth!#REF!,0),MATCH('CompilationCalcs - Bandwidth'!$D84,Bandwidth!#REF!,0))</f>
        <v>#REF!</v>
      </c>
    </row>
    <row r="85" spans="1:5" x14ac:dyDescent="0.2">
      <c r="A85" t="s">
        <v>10</v>
      </c>
      <c r="B85" t="s">
        <v>191</v>
      </c>
      <c r="C85" t="e">
        <f t="shared" si="4"/>
        <v>#REF!</v>
      </c>
      <c r="D85" t="s">
        <v>214</v>
      </c>
      <c r="E85" t="e">
        <f>INDEX(Bandwidth!#REF!,MATCH($A85,Bandwidth!#REF!,0),MATCH('CompilationCalcs - Bandwidth'!$D85,Bandwidth!#REF!,0))</f>
        <v>#REF!</v>
      </c>
    </row>
    <row r="86" spans="1:5" x14ac:dyDescent="0.2">
      <c r="A86" t="s">
        <v>10</v>
      </c>
      <c r="B86" t="s">
        <v>191</v>
      </c>
      <c r="C86" t="e">
        <f t="shared" si="4"/>
        <v>#REF!</v>
      </c>
      <c r="D86" t="s">
        <v>215</v>
      </c>
      <c r="E86" t="e">
        <f>INDEX(Bandwidth!#REF!,MATCH($A86,Bandwidth!#REF!,0),MATCH('CompilationCalcs - Bandwidth'!$D86,Bandwidth!#REF!,0))</f>
        <v>#REF!</v>
      </c>
    </row>
    <row r="87" spans="1:5" x14ac:dyDescent="0.2">
      <c r="A87" t="s">
        <v>10</v>
      </c>
      <c r="B87" t="s">
        <v>191</v>
      </c>
      <c r="C87" t="e">
        <f t="shared" si="4"/>
        <v>#REF!</v>
      </c>
      <c r="D87" t="s">
        <v>216</v>
      </c>
      <c r="E87" t="e">
        <f>INDEX(Bandwidth!#REF!,MATCH($A87,Bandwidth!#REF!,0),MATCH('CompilationCalcs - Bandwidth'!$D87,Bandwidth!#REF!,0))</f>
        <v>#REF!</v>
      </c>
    </row>
    <row r="88" spans="1:5" x14ac:dyDescent="0.2">
      <c r="A88" t="s">
        <v>10</v>
      </c>
      <c r="B88" t="s">
        <v>191</v>
      </c>
      <c r="C88" t="e">
        <f t="shared" si="4"/>
        <v>#REF!</v>
      </c>
      <c r="D88" t="s">
        <v>217</v>
      </c>
      <c r="E88" t="e">
        <f>INDEX(Bandwidth!#REF!,MATCH($A88,Bandwidth!#REF!,0),MATCH('CompilationCalcs - Bandwidth'!$D88,Bandwidth!#REF!,0))</f>
        <v>#REF!</v>
      </c>
    </row>
    <row r="89" spans="1:5" x14ac:dyDescent="0.2">
      <c r="A89" t="s">
        <v>10</v>
      </c>
      <c r="B89" t="s">
        <v>191</v>
      </c>
      <c r="C89" t="e">
        <f t="shared" si="4"/>
        <v>#REF!</v>
      </c>
      <c r="D89" t="s">
        <v>218</v>
      </c>
      <c r="E89" t="e">
        <f>INDEX(Bandwidth!#REF!,MATCH($A89,Bandwidth!#REF!,0),MATCH('CompilationCalcs - Bandwidth'!$D89,Bandwidth!#REF!,0))</f>
        <v>#REF!</v>
      </c>
    </row>
    <row r="90" spans="1:5" x14ac:dyDescent="0.2">
      <c r="A90" t="s">
        <v>10</v>
      </c>
      <c r="B90" t="s">
        <v>191</v>
      </c>
      <c r="C90" t="e">
        <f t="shared" si="4"/>
        <v>#REF!</v>
      </c>
      <c r="D90" t="s">
        <v>219</v>
      </c>
      <c r="E90" t="e">
        <f>INDEX(Bandwidth!#REF!,MATCH($A90,Bandwidth!#REF!,0),MATCH('CompilationCalcs - Bandwidth'!$D90,Bandwidth!#REF!,0))</f>
        <v>#REF!</v>
      </c>
    </row>
    <row r="91" spans="1:5" x14ac:dyDescent="0.2">
      <c r="A91" t="s">
        <v>10</v>
      </c>
      <c r="B91" t="s">
        <v>191</v>
      </c>
      <c r="C91" t="e">
        <f t="shared" si="4"/>
        <v>#REF!</v>
      </c>
      <c r="D91" t="s">
        <v>302</v>
      </c>
      <c r="E91" t="e">
        <f>INDEX(Bandwidth!#REF!,MATCH($A91,Bandwidth!#REF!,0),MATCH('CompilationCalcs - Bandwidth'!$D91,Bandwidth!#REF!,0))</f>
        <v>#REF!</v>
      </c>
    </row>
    <row r="92" spans="1:5" x14ac:dyDescent="0.2">
      <c r="A92" t="s">
        <v>10</v>
      </c>
      <c r="B92" t="s">
        <v>191</v>
      </c>
      <c r="C92" t="e">
        <f t="shared" si="4"/>
        <v>#REF!</v>
      </c>
      <c r="D92" t="s">
        <v>220</v>
      </c>
      <c r="E92" t="e">
        <f>INDEX(Bandwidth!#REF!,MATCH($A92,Bandwidth!#REF!,0),MATCH('CompilationCalcs - Bandwidth'!$D92,Bandwidth!#REF!,0))</f>
        <v>#REF!</v>
      </c>
    </row>
    <row r="93" spans="1:5" x14ac:dyDescent="0.2">
      <c r="A93" t="s">
        <v>10</v>
      </c>
      <c r="B93" t="s">
        <v>191</v>
      </c>
      <c r="C93" t="e">
        <f t="shared" si="4"/>
        <v>#REF!</v>
      </c>
      <c r="D93" t="s">
        <v>221</v>
      </c>
      <c r="E93" t="e">
        <f>INDEX(Bandwidth!#REF!,MATCH($A93,Bandwidth!#REF!,0),MATCH('CompilationCalcs - Bandwidth'!$D93,Bandwidth!#REF!,0))</f>
        <v>#REF!</v>
      </c>
    </row>
    <row r="94" spans="1:5" x14ac:dyDescent="0.2">
      <c r="A94" t="s">
        <v>10</v>
      </c>
      <c r="B94" t="s">
        <v>191</v>
      </c>
      <c r="C94" t="e">
        <f t="shared" si="4"/>
        <v>#REF!</v>
      </c>
      <c r="D94" t="s">
        <v>222</v>
      </c>
      <c r="E94" t="e">
        <f>INDEX(Bandwidth!#REF!,MATCH($A94,Bandwidth!#REF!,0),MATCH('CompilationCalcs - Bandwidth'!$D94,Bandwidth!#REF!,0))</f>
        <v>#REF!</v>
      </c>
    </row>
    <row r="95" spans="1:5" x14ac:dyDescent="0.2">
      <c r="A95" t="s">
        <v>10</v>
      </c>
      <c r="B95" t="s">
        <v>191</v>
      </c>
      <c r="C95" t="e">
        <f t="shared" si="4"/>
        <v>#REF!</v>
      </c>
      <c r="D95" t="s">
        <v>223</v>
      </c>
      <c r="E95" t="e">
        <f>INDEX(Bandwidth!#REF!,MATCH($A95,Bandwidth!#REF!,0),MATCH('CompilationCalcs - Bandwidth'!$D95,Bandwidth!#REF!,0))</f>
        <v>#REF!</v>
      </c>
    </row>
    <row r="96" spans="1:5" x14ac:dyDescent="0.2">
      <c r="A96" t="s">
        <v>10</v>
      </c>
      <c r="B96" t="s">
        <v>191</v>
      </c>
      <c r="C96" t="e">
        <f t="shared" si="4"/>
        <v>#REF!</v>
      </c>
      <c r="D96" t="s">
        <v>224</v>
      </c>
      <c r="E96" t="e">
        <f>INDEX(Bandwidth!#REF!,MATCH($A96,Bandwidth!#REF!,0),MATCH('CompilationCalcs - Bandwidth'!$D96,Bandwidth!#REF!,0))</f>
        <v>#REF!</v>
      </c>
    </row>
    <row r="97" spans="1:5" x14ac:dyDescent="0.2">
      <c r="A97" t="s">
        <v>10</v>
      </c>
      <c r="B97" t="s">
        <v>191</v>
      </c>
      <c r="C97" t="e">
        <f t="shared" si="4"/>
        <v>#REF!</v>
      </c>
      <c r="D97" t="s">
        <v>225</v>
      </c>
      <c r="E97" t="e">
        <f>INDEX(Bandwidth!#REF!,MATCH($A97,Bandwidth!#REF!,0),MATCH('CompilationCalcs - Bandwidth'!$D97,Bandwidth!#REF!,0))</f>
        <v>#REF!</v>
      </c>
    </row>
    <row r="98" spans="1:5" x14ac:dyDescent="0.2">
      <c r="A98" t="s">
        <v>10</v>
      </c>
      <c r="B98" t="s">
        <v>191</v>
      </c>
      <c r="C98" t="e">
        <f t="shared" si="4"/>
        <v>#REF!</v>
      </c>
      <c r="D98" t="s">
        <v>226</v>
      </c>
      <c r="E98" t="e">
        <f>INDEX(Bandwidth!#REF!,MATCH($A98,Bandwidth!#REF!,0),MATCH('CompilationCalcs - Bandwidth'!$D98,Bandwidth!#REF!,0))</f>
        <v>#REF!</v>
      </c>
    </row>
    <row r="99" spans="1:5" x14ac:dyDescent="0.2">
      <c r="A99" t="s">
        <v>10</v>
      </c>
      <c r="B99" t="s">
        <v>191</v>
      </c>
      <c r="C99" t="e">
        <f t="shared" si="4"/>
        <v>#REF!</v>
      </c>
      <c r="D99" t="s">
        <v>279</v>
      </c>
      <c r="E99" t="e">
        <f>INDEX(Bandwidth!#REF!,MATCH($A99,Bandwidth!#REF!,0),MATCH('CompilationCalcs - Bandwidth'!$D99,Bandwidth!#REF!,0))</f>
        <v>#REF!</v>
      </c>
    </row>
    <row r="100" spans="1:5" x14ac:dyDescent="0.2">
      <c r="A100" t="s">
        <v>11</v>
      </c>
      <c r="B100" t="s">
        <v>191</v>
      </c>
      <c r="C100" t="e">
        <f t="shared" ref="C100:C115" si="5">E100</f>
        <v>#REF!</v>
      </c>
      <c r="D100" t="s">
        <v>213</v>
      </c>
      <c r="E100" t="e">
        <f>INDEX(Bandwidth!#REF!,MATCH($A100,Bandwidth!#REF!,0),MATCH('CompilationCalcs - Bandwidth'!$D100,Bandwidth!#REF!,0))</f>
        <v>#REF!</v>
      </c>
    </row>
    <row r="101" spans="1:5" x14ac:dyDescent="0.2">
      <c r="A101" t="s">
        <v>11</v>
      </c>
      <c r="B101" t="s">
        <v>191</v>
      </c>
      <c r="C101" t="e">
        <f t="shared" si="5"/>
        <v>#REF!</v>
      </c>
      <c r="D101" t="s">
        <v>214</v>
      </c>
      <c r="E101" t="e">
        <f>INDEX(Bandwidth!#REF!,MATCH($A101,Bandwidth!#REF!,0),MATCH('CompilationCalcs - Bandwidth'!$D101,Bandwidth!#REF!,0))</f>
        <v>#REF!</v>
      </c>
    </row>
    <row r="102" spans="1:5" x14ac:dyDescent="0.2">
      <c r="A102" t="s">
        <v>11</v>
      </c>
      <c r="B102" t="s">
        <v>191</v>
      </c>
      <c r="C102" t="e">
        <f t="shared" si="5"/>
        <v>#REF!</v>
      </c>
      <c r="D102" t="s">
        <v>215</v>
      </c>
      <c r="E102" t="e">
        <f>INDEX(Bandwidth!#REF!,MATCH($A102,Bandwidth!#REF!,0),MATCH('CompilationCalcs - Bandwidth'!$D102,Bandwidth!#REF!,0))</f>
        <v>#REF!</v>
      </c>
    </row>
    <row r="103" spans="1:5" x14ac:dyDescent="0.2">
      <c r="A103" t="s">
        <v>11</v>
      </c>
      <c r="B103" t="s">
        <v>191</v>
      </c>
      <c r="C103" t="e">
        <f t="shared" si="5"/>
        <v>#REF!</v>
      </c>
      <c r="D103" t="s">
        <v>216</v>
      </c>
      <c r="E103" t="e">
        <f>INDEX(Bandwidth!#REF!,MATCH($A103,Bandwidth!#REF!,0),MATCH('CompilationCalcs - Bandwidth'!$D103,Bandwidth!#REF!,0))</f>
        <v>#REF!</v>
      </c>
    </row>
    <row r="104" spans="1:5" x14ac:dyDescent="0.2">
      <c r="A104" t="s">
        <v>11</v>
      </c>
      <c r="B104" t="s">
        <v>191</v>
      </c>
      <c r="C104" t="e">
        <f t="shared" si="5"/>
        <v>#REF!</v>
      </c>
      <c r="D104" t="s">
        <v>217</v>
      </c>
      <c r="E104" t="e">
        <f>INDEX(Bandwidth!#REF!,MATCH($A104,Bandwidth!#REF!,0),MATCH('CompilationCalcs - Bandwidth'!$D104,Bandwidth!#REF!,0))</f>
        <v>#REF!</v>
      </c>
    </row>
    <row r="105" spans="1:5" x14ac:dyDescent="0.2">
      <c r="A105" t="s">
        <v>11</v>
      </c>
      <c r="B105" t="s">
        <v>191</v>
      </c>
      <c r="C105" t="e">
        <f t="shared" si="5"/>
        <v>#REF!</v>
      </c>
      <c r="D105" t="s">
        <v>218</v>
      </c>
      <c r="E105" t="e">
        <f>INDEX(Bandwidth!#REF!,MATCH($A105,Bandwidth!#REF!,0),MATCH('CompilationCalcs - Bandwidth'!$D105,Bandwidth!#REF!,0))</f>
        <v>#REF!</v>
      </c>
    </row>
    <row r="106" spans="1:5" x14ac:dyDescent="0.2">
      <c r="A106" t="s">
        <v>11</v>
      </c>
      <c r="B106" t="s">
        <v>191</v>
      </c>
      <c r="C106" t="e">
        <f t="shared" si="5"/>
        <v>#REF!</v>
      </c>
      <c r="D106" t="s">
        <v>219</v>
      </c>
      <c r="E106" t="e">
        <f>INDEX(Bandwidth!#REF!,MATCH($A106,Bandwidth!#REF!,0),MATCH('CompilationCalcs - Bandwidth'!$D106,Bandwidth!#REF!,0))</f>
        <v>#REF!</v>
      </c>
    </row>
    <row r="107" spans="1:5" x14ac:dyDescent="0.2">
      <c r="A107" t="s">
        <v>11</v>
      </c>
      <c r="B107" t="s">
        <v>191</v>
      </c>
      <c r="C107" t="e">
        <f t="shared" si="5"/>
        <v>#REF!</v>
      </c>
      <c r="D107" t="s">
        <v>302</v>
      </c>
      <c r="E107" t="e">
        <f>INDEX(Bandwidth!#REF!,MATCH($A107,Bandwidth!#REF!,0),MATCH('CompilationCalcs - Bandwidth'!$D107,Bandwidth!#REF!,0))</f>
        <v>#REF!</v>
      </c>
    </row>
    <row r="108" spans="1:5" x14ac:dyDescent="0.2">
      <c r="A108" t="s">
        <v>11</v>
      </c>
      <c r="B108" t="s">
        <v>191</v>
      </c>
      <c r="C108" t="e">
        <f t="shared" si="5"/>
        <v>#REF!</v>
      </c>
      <c r="D108" t="s">
        <v>220</v>
      </c>
      <c r="E108" t="e">
        <f>INDEX(Bandwidth!#REF!,MATCH($A108,Bandwidth!#REF!,0),MATCH('CompilationCalcs - Bandwidth'!$D108,Bandwidth!#REF!,0))</f>
        <v>#REF!</v>
      </c>
    </row>
    <row r="109" spans="1:5" x14ac:dyDescent="0.2">
      <c r="A109" t="s">
        <v>11</v>
      </c>
      <c r="B109" t="s">
        <v>191</v>
      </c>
      <c r="C109" t="e">
        <f t="shared" si="5"/>
        <v>#REF!</v>
      </c>
      <c r="D109" t="s">
        <v>221</v>
      </c>
      <c r="E109" t="e">
        <f>INDEX(Bandwidth!#REF!,MATCH($A109,Bandwidth!#REF!,0),MATCH('CompilationCalcs - Bandwidth'!$D109,Bandwidth!#REF!,0))</f>
        <v>#REF!</v>
      </c>
    </row>
    <row r="110" spans="1:5" x14ac:dyDescent="0.2">
      <c r="A110" t="s">
        <v>11</v>
      </c>
      <c r="B110" t="s">
        <v>191</v>
      </c>
      <c r="C110" t="e">
        <f t="shared" si="5"/>
        <v>#REF!</v>
      </c>
      <c r="D110" t="s">
        <v>222</v>
      </c>
      <c r="E110" t="e">
        <f>INDEX(Bandwidth!#REF!,MATCH($A110,Bandwidth!#REF!,0),MATCH('CompilationCalcs - Bandwidth'!$D110,Bandwidth!#REF!,0))</f>
        <v>#REF!</v>
      </c>
    </row>
    <row r="111" spans="1:5" x14ac:dyDescent="0.2">
      <c r="A111" t="s">
        <v>11</v>
      </c>
      <c r="B111" t="s">
        <v>191</v>
      </c>
      <c r="C111" t="e">
        <f t="shared" si="5"/>
        <v>#REF!</v>
      </c>
      <c r="D111" t="s">
        <v>223</v>
      </c>
      <c r="E111" t="e">
        <f>INDEX(Bandwidth!#REF!,MATCH($A111,Bandwidth!#REF!,0),MATCH('CompilationCalcs - Bandwidth'!$D111,Bandwidth!#REF!,0))</f>
        <v>#REF!</v>
      </c>
    </row>
    <row r="112" spans="1:5" x14ac:dyDescent="0.2">
      <c r="A112" t="s">
        <v>11</v>
      </c>
      <c r="B112" t="s">
        <v>191</v>
      </c>
      <c r="C112" t="e">
        <f t="shared" si="5"/>
        <v>#REF!</v>
      </c>
      <c r="D112" t="s">
        <v>224</v>
      </c>
      <c r="E112" t="e">
        <f>INDEX(Bandwidth!#REF!,MATCH($A112,Bandwidth!#REF!,0),MATCH('CompilationCalcs - Bandwidth'!$D112,Bandwidth!#REF!,0))</f>
        <v>#REF!</v>
      </c>
    </row>
    <row r="113" spans="1:5" x14ac:dyDescent="0.2">
      <c r="A113" t="s">
        <v>11</v>
      </c>
      <c r="B113" t="s">
        <v>191</v>
      </c>
      <c r="C113" t="e">
        <f t="shared" si="5"/>
        <v>#REF!</v>
      </c>
      <c r="D113" t="s">
        <v>225</v>
      </c>
      <c r="E113" t="e">
        <f>INDEX(Bandwidth!#REF!,MATCH($A113,Bandwidth!#REF!,0),MATCH('CompilationCalcs - Bandwidth'!$D113,Bandwidth!#REF!,0))</f>
        <v>#REF!</v>
      </c>
    </row>
    <row r="114" spans="1:5" x14ac:dyDescent="0.2">
      <c r="A114" t="s">
        <v>11</v>
      </c>
      <c r="B114" t="s">
        <v>191</v>
      </c>
      <c r="C114" t="e">
        <f t="shared" si="5"/>
        <v>#REF!</v>
      </c>
      <c r="D114" t="s">
        <v>226</v>
      </c>
      <c r="E114" t="e">
        <f>INDEX(Bandwidth!#REF!,MATCH($A114,Bandwidth!#REF!,0),MATCH('CompilationCalcs - Bandwidth'!$D114,Bandwidth!#REF!,0))</f>
        <v>#REF!</v>
      </c>
    </row>
    <row r="115" spans="1:5" x14ac:dyDescent="0.2">
      <c r="A115" t="s">
        <v>11</v>
      </c>
      <c r="B115" t="s">
        <v>191</v>
      </c>
      <c r="C115" t="e">
        <f t="shared" si="5"/>
        <v>#REF!</v>
      </c>
      <c r="D115" t="s">
        <v>279</v>
      </c>
      <c r="E115" t="e">
        <f>INDEX(Bandwidth!#REF!,MATCH($A115,Bandwidth!#REF!,0),MATCH('CompilationCalcs - Bandwidth'!$D115,Bandwidth!#REF!,0))</f>
        <v>#REF!</v>
      </c>
    </row>
    <row r="116" spans="1:5" x14ac:dyDescent="0.2">
      <c r="A116" t="s">
        <v>25</v>
      </c>
      <c r="B116" t="s">
        <v>191</v>
      </c>
      <c r="C116" t="e">
        <f t="shared" ref="C116:C131" si="6">E116</f>
        <v>#REF!</v>
      </c>
      <c r="D116" t="s">
        <v>213</v>
      </c>
      <c r="E116" t="e">
        <f>INDEX(Bandwidth!#REF!,MATCH($A116,Bandwidth!#REF!,0),MATCH('CompilationCalcs - Bandwidth'!$D116,Bandwidth!#REF!,0))</f>
        <v>#REF!</v>
      </c>
    </row>
    <row r="117" spans="1:5" x14ac:dyDescent="0.2">
      <c r="A117" t="s">
        <v>25</v>
      </c>
      <c r="B117" t="s">
        <v>191</v>
      </c>
      <c r="C117" t="e">
        <f t="shared" si="6"/>
        <v>#REF!</v>
      </c>
      <c r="D117" t="s">
        <v>214</v>
      </c>
      <c r="E117" t="e">
        <f>INDEX(Bandwidth!#REF!,MATCH($A117,Bandwidth!#REF!,0),MATCH('CompilationCalcs - Bandwidth'!$D117,Bandwidth!#REF!,0))</f>
        <v>#REF!</v>
      </c>
    </row>
    <row r="118" spans="1:5" x14ac:dyDescent="0.2">
      <c r="A118" t="s">
        <v>25</v>
      </c>
      <c r="B118" t="s">
        <v>191</v>
      </c>
      <c r="C118" t="e">
        <f t="shared" si="6"/>
        <v>#REF!</v>
      </c>
      <c r="D118" t="s">
        <v>215</v>
      </c>
      <c r="E118" t="e">
        <f>INDEX(Bandwidth!#REF!,MATCH($A118,Bandwidth!#REF!,0),MATCH('CompilationCalcs - Bandwidth'!$D118,Bandwidth!#REF!,0))</f>
        <v>#REF!</v>
      </c>
    </row>
    <row r="119" spans="1:5" x14ac:dyDescent="0.2">
      <c r="A119" t="s">
        <v>25</v>
      </c>
      <c r="B119" t="s">
        <v>191</v>
      </c>
      <c r="C119" t="e">
        <f t="shared" si="6"/>
        <v>#REF!</v>
      </c>
      <c r="D119" t="s">
        <v>216</v>
      </c>
      <c r="E119" t="e">
        <f>INDEX(Bandwidth!#REF!,MATCH($A119,Bandwidth!#REF!,0),MATCH('CompilationCalcs - Bandwidth'!$D119,Bandwidth!#REF!,0))</f>
        <v>#REF!</v>
      </c>
    </row>
    <row r="120" spans="1:5" x14ac:dyDescent="0.2">
      <c r="A120" t="s">
        <v>25</v>
      </c>
      <c r="B120" t="s">
        <v>191</v>
      </c>
      <c r="C120" t="e">
        <f t="shared" si="6"/>
        <v>#REF!</v>
      </c>
      <c r="D120" t="s">
        <v>217</v>
      </c>
      <c r="E120" t="e">
        <f>INDEX(Bandwidth!#REF!,MATCH($A120,Bandwidth!#REF!,0),MATCH('CompilationCalcs - Bandwidth'!$D120,Bandwidth!#REF!,0))</f>
        <v>#REF!</v>
      </c>
    </row>
    <row r="121" spans="1:5" x14ac:dyDescent="0.2">
      <c r="A121" t="s">
        <v>25</v>
      </c>
      <c r="B121" t="s">
        <v>191</v>
      </c>
      <c r="C121" t="e">
        <f t="shared" si="6"/>
        <v>#REF!</v>
      </c>
      <c r="D121" t="s">
        <v>218</v>
      </c>
      <c r="E121" t="e">
        <f>INDEX(Bandwidth!#REF!,MATCH($A121,Bandwidth!#REF!,0),MATCH('CompilationCalcs - Bandwidth'!$D121,Bandwidth!#REF!,0))</f>
        <v>#REF!</v>
      </c>
    </row>
    <row r="122" spans="1:5" x14ac:dyDescent="0.2">
      <c r="A122" t="s">
        <v>25</v>
      </c>
      <c r="B122" t="s">
        <v>191</v>
      </c>
      <c r="C122" t="e">
        <f t="shared" si="6"/>
        <v>#REF!</v>
      </c>
      <c r="D122" t="s">
        <v>219</v>
      </c>
      <c r="E122" t="e">
        <f>INDEX(Bandwidth!#REF!,MATCH($A122,Bandwidth!#REF!,0),MATCH('CompilationCalcs - Bandwidth'!$D122,Bandwidth!#REF!,0))</f>
        <v>#REF!</v>
      </c>
    </row>
    <row r="123" spans="1:5" x14ac:dyDescent="0.2">
      <c r="A123" t="s">
        <v>25</v>
      </c>
      <c r="B123" t="s">
        <v>191</v>
      </c>
      <c r="C123" t="e">
        <f t="shared" si="6"/>
        <v>#REF!</v>
      </c>
      <c r="D123" t="s">
        <v>302</v>
      </c>
      <c r="E123" t="e">
        <f>INDEX(Bandwidth!#REF!,MATCH($A123,Bandwidth!#REF!,0),MATCH('CompilationCalcs - Bandwidth'!$D123,Bandwidth!#REF!,0))</f>
        <v>#REF!</v>
      </c>
    </row>
    <row r="124" spans="1:5" x14ac:dyDescent="0.2">
      <c r="A124" t="s">
        <v>25</v>
      </c>
      <c r="B124" t="s">
        <v>191</v>
      </c>
      <c r="C124" t="e">
        <f t="shared" si="6"/>
        <v>#REF!</v>
      </c>
      <c r="D124" t="s">
        <v>220</v>
      </c>
      <c r="E124" t="e">
        <f>INDEX(Bandwidth!#REF!,MATCH($A124,Bandwidth!#REF!,0),MATCH('CompilationCalcs - Bandwidth'!$D124,Bandwidth!#REF!,0))</f>
        <v>#REF!</v>
      </c>
    </row>
    <row r="125" spans="1:5" x14ac:dyDescent="0.2">
      <c r="A125" t="s">
        <v>25</v>
      </c>
      <c r="B125" t="s">
        <v>191</v>
      </c>
      <c r="C125" t="e">
        <f t="shared" si="6"/>
        <v>#REF!</v>
      </c>
      <c r="D125" t="s">
        <v>221</v>
      </c>
      <c r="E125" t="e">
        <f>INDEX(Bandwidth!#REF!,MATCH($A125,Bandwidth!#REF!,0),MATCH('CompilationCalcs - Bandwidth'!$D125,Bandwidth!#REF!,0))</f>
        <v>#REF!</v>
      </c>
    </row>
    <row r="126" spans="1:5" x14ac:dyDescent="0.2">
      <c r="A126" t="s">
        <v>25</v>
      </c>
      <c r="B126" t="s">
        <v>191</v>
      </c>
      <c r="C126" t="e">
        <f t="shared" si="6"/>
        <v>#REF!</v>
      </c>
      <c r="D126" t="s">
        <v>222</v>
      </c>
      <c r="E126" t="e">
        <f>INDEX(Bandwidth!#REF!,MATCH($A126,Bandwidth!#REF!,0),MATCH('CompilationCalcs - Bandwidth'!$D126,Bandwidth!#REF!,0))</f>
        <v>#REF!</v>
      </c>
    </row>
    <row r="127" spans="1:5" x14ac:dyDescent="0.2">
      <c r="A127" t="s">
        <v>25</v>
      </c>
      <c r="B127" t="s">
        <v>191</v>
      </c>
      <c r="C127" t="e">
        <f t="shared" si="6"/>
        <v>#REF!</v>
      </c>
      <c r="D127" t="s">
        <v>223</v>
      </c>
      <c r="E127" t="e">
        <f>INDEX(Bandwidth!#REF!,MATCH($A127,Bandwidth!#REF!,0),MATCH('CompilationCalcs - Bandwidth'!$D127,Bandwidth!#REF!,0))</f>
        <v>#REF!</v>
      </c>
    </row>
    <row r="128" spans="1:5" x14ac:dyDescent="0.2">
      <c r="A128" t="s">
        <v>25</v>
      </c>
      <c r="B128" t="s">
        <v>191</v>
      </c>
      <c r="C128" t="e">
        <f t="shared" si="6"/>
        <v>#REF!</v>
      </c>
      <c r="D128" t="s">
        <v>224</v>
      </c>
      <c r="E128" t="e">
        <f>INDEX(Bandwidth!#REF!,MATCH($A128,Bandwidth!#REF!,0),MATCH('CompilationCalcs - Bandwidth'!$D128,Bandwidth!#REF!,0))</f>
        <v>#REF!</v>
      </c>
    </row>
    <row r="129" spans="1:12" x14ac:dyDescent="0.2">
      <c r="A129" t="s">
        <v>25</v>
      </c>
      <c r="B129" t="s">
        <v>191</v>
      </c>
      <c r="C129" t="e">
        <f t="shared" si="6"/>
        <v>#REF!</v>
      </c>
      <c r="D129" t="s">
        <v>225</v>
      </c>
      <c r="E129" t="e">
        <f>INDEX(Bandwidth!#REF!,MATCH($A129,Bandwidth!#REF!,0),MATCH('CompilationCalcs - Bandwidth'!$D129,Bandwidth!#REF!,0))</f>
        <v>#REF!</v>
      </c>
    </row>
    <row r="130" spans="1:12" x14ac:dyDescent="0.2">
      <c r="A130" t="s">
        <v>25</v>
      </c>
      <c r="B130" t="s">
        <v>191</v>
      </c>
      <c r="C130" t="e">
        <f t="shared" si="6"/>
        <v>#REF!</v>
      </c>
      <c r="D130" t="s">
        <v>226</v>
      </c>
      <c r="E130" t="e">
        <f>INDEX(Bandwidth!#REF!,MATCH($A130,Bandwidth!#REF!,0),MATCH('CompilationCalcs - Bandwidth'!$D130,Bandwidth!#REF!,0))</f>
        <v>#REF!</v>
      </c>
    </row>
    <row r="131" spans="1:12" x14ac:dyDescent="0.2">
      <c r="A131" t="s">
        <v>25</v>
      </c>
      <c r="B131" t="s">
        <v>191</v>
      </c>
      <c r="C131" t="e">
        <f t="shared" si="6"/>
        <v>#REF!</v>
      </c>
      <c r="D131" t="s">
        <v>279</v>
      </c>
      <c r="E131" t="e">
        <f>INDEX(Bandwidth!#REF!,MATCH($A131,Bandwidth!#REF!,0),MATCH('CompilationCalcs - Bandwidth'!$D131,Bandwidth!#REF!,0))</f>
        <v>#REF!</v>
      </c>
    </row>
    <row r="132" spans="1:12" x14ac:dyDescent="0.2">
      <c r="A132" t="s">
        <v>7</v>
      </c>
      <c r="B132" t="s">
        <v>191</v>
      </c>
      <c r="C132" t="e">
        <f t="shared" ref="C132:C147" si="7">E132</f>
        <v>#REF!</v>
      </c>
      <c r="D132" t="s">
        <v>213</v>
      </c>
      <c r="E132" t="e">
        <f>INDEX(Bandwidth!#REF!,MATCH($A132,Bandwidth!#REF!,0),MATCH('CompilationCalcs - Bandwidth'!$D132,Bandwidth!#REF!,0))</f>
        <v>#REF!</v>
      </c>
    </row>
    <row r="133" spans="1:12" x14ac:dyDescent="0.2">
      <c r="A133" t="s">
        <v>7</v>
      </c>
      <c r="B133" t="s">
        <v>191</v>
      </c>
      <c r="C133" t="e">
        <f t="shared" si="7"/>
        <v>#REF!</v>
      </c>
      <c r="D133" t="s">
        <v>214</v>
      </c>
      <c r="E133" t="e">
        <f>INDEX(Bandwidth!#REF!,MATCH($A133,Bandwidth!#REF!,0),MATCH('CompilationCalcs - Bandwidth'!$D133,Bandwidth!#REF!,0))</f>
        <v>#REF!</v>
      </c>
    </row>
    <row r="134" spans="1:12" x14ac:dyDescent="0.2">
      <c r="A134" t="s">
        <v>7</v>
      </c>
      <c r="B134" t="s">
        <v>191</v>
      </c>
      <c r="C134" t="e">
        <f t="shared" si="7"/>
        <v>#REF!</v>
      </c>
      <c r="D134" t="s">
        <v>215</v>
      </c>
      <c r="E134" t="e">
        <f>INDEX(Bandwidth!#REF!,MATCH($A134,Bandwidth!#REF!,0),MATCH('CompilationCalcs - Bandwidth'!$D134,Bandwidth!#REF!,0))</f>
        <v>#REF!</v>
      </c>
    </row>
    <row r="135" spans="1:12" x14ac:dyDescent="0.2">
      <c r="A135" t="s">
        <v>7</v>
      </c>
      <c r="B135" t="s">
        <v>191</v>
      </c>
      <c r="C135" t="e">
        <f t="shared" si="7"/>
        <v>#REF!</v>
      </c>
      <c r="D135" t="s">
        <v>216</v>
      </c>
      <c r="E135" t="e">
        <f>INDEX(Bandwidth!#REF!,MATCH($A135,Bandwidth!#REF!,0),MATCH('CompilationCalcs - Bandwidth'!$D135,Bandwidth!#REF!,0))</f>
        <v>#REF!</v>
      </c>
    </row>
    <row r="136" spans="1:12" x14ac:dyDescent="0.2">
      <c r="A136" t="s">
        <v>7</v>
      </c>
      <c r="B136" t="s">
        <v>191</v>
      </c>
      <c r="C136" t="e">
        <f t="shared" si="7"/>
        <v>#REF!</v>
      </c>
      <c r="D136" t="s">
        <v>217</v>
      </c>
      <c r="E136" t="e">
        <f>INDEX(Bandwidth!#REF!,MATCH($A136,Bandwidth!#REF!,0),MATCH('CompilationCalcs - Bandwidth'!$D136,Bandwidth!#REF!,0))</f>
        <v>#REF!</v>
      </c>
    </row>
    <row r="137" spans="1:12" x14ac:dyDescent="0.2">
      <c r="A137" t="s">
        <v>7</v>
      </c>
      <c r="B137" t="s">
        <v>191</v>
      </c>
      <c r="C137" t="e">
        <f t="shared" si="7"/>
        <v>#REF!</v>
      </c>
      <c r="D137" t="s">
        <v>218</v>
      </c>
      <c r="E137" t="e">
        <f>INDEX(Bandwidth!#REF!,MATCH($A137,Bandwidth!#REF!,0),MATCH('CompilationCalcs - Bandwidth'!$D137,Bandwidth!#REF!,0))</f>
        <v>#REF!</v>
      </c>
    </row>
    <row r="138" spans="1:12" x14ac:dyDescent="0.2">
      <c r="A138" t="s">
        <v>7</v>
      </c>
      <c r="B138" t="s">
        <v>191</v>
      </c>
      <c r="C138" t="e">
        <f t="shared" si="7"/>
        <v>#REF!</v>
      </c>
      <c r="D138" t="s">
        <v>219</v>
      </c>
      <c r="E138" t="e">
        <f>INDEX(Bandwidth!#REF!,MATCH($A138,Bandwidth!#REF!,0),MATCH('CompilationCalcs - Bandwidth'!$D138,Bandwidth!#REF!,0))</f>
        <v>#REF!</v>
      </c>
    </row>
    <row r="139" spans="1:12" x14ac:dyDescent="0.2">
      <c r="A139" t="s">
        <v>7</v>
      </c>
      <c r="B139" t="s">
        <v>191</v>
      </c>
      <c r="C139" t="e">
        <f t="shared" si="7"/>
        <v>#REF!</v>
      </c>
      <c r="D139" t="s">
        <v>302</v>
      </c>
      <c r="E139" t="e">
        <f>INDEX(Bandwidth!#REF!,MATCH($A139,Bandwidth!#REF!,0),MATCH('CompilationCalcs - Bandwidth'!$D139,Bandwidth!#REF!,0))</f>
        <v>#REF!</v>
      </c>
    </row>
    <row r="140" spans="1:12" x14ac:dyDescent="0.2">
      <c r="A140" t="s">
        <v>7</v>
      </c>
      <c r="B140" t="s">
        <v>191</v>
      </c>
      <c r="C140" t="e">
        <f t="shared" si="7"/>
        <v>#REF!</v>
      </c>
      <c r="D140" t="s">
        <v>220</v>
      </c>
      <c r="E140" t="e">
        <f>INDEX(Bandwidth!#REF!,MATCH($A140,Bandwidth!#REF!,0),MATCH('CompilationCalcs - Bandwidth'!$D140,Bandwidth!#REF!,0))</f>
        <v>#REF!</v>
      </c>
      <c r="L140" s="28"/>
    </row>
    <row r="141" spans="1:12" x14ac:dyDescent="0.2">
      <c r="A141" t="s">
        <v>7</v>
      </c>
      <c r="B141" t="s">
        <v>191</v>
      </c>
      <c r="C141" t="e">
        <f t="shared" si="7"/>
        <v>#REF!</v>
      </c>
      <c r="D141" t="s">
        <v>221</v>
      </c>
      <c r="E141" t="e">
        <f>INDEX(Bandwidth!#REF!,MATCH($A141,Bandwidth!#REF!,0),MATCH('CompilationCalcs - Bandwidth'!$D141,Bandwidth!#REF!,0))</f>
        <v>#REF!</v>
      </c>
      <c r="L141" s="28"/>
    </row>
    <row r="142" spans="1:12" x14ac:dyDescent="0.2">
      <c r="A142" t="s">
        <v>7</v>
      </c>
      <c r="B142" t="s">
        <v>191</v>
      </c>
      <c r="C142" t="e">
        <f t="shared" si="7"/>
        <v>#REF!</v>
      </c>
      <c r="D142" t="s">
        <v>222</v>
      </c>
      <c r="E142" t="e">
        <f>INDEX(Bandwidth!#REF!,MATCH($A142,Bandwidth!#REF!,0),MATCH('CompilationCalcs - Bandwidth'!$D142,Bandwidth!#REF!,0))</f>
        <v>#REF!</v>
      </c>
    </row>
    <row r="143" spans="1:12" x14ac:dyDescent="0.2">
      <c r="A143" t="s">
        <v>7</v>
      </c>
      <c r="B143" t="s">
        <v>191</v>
      </c>
      <c r="C143" t="e">
        <f t="shared" si="7"/>
        <v>#REF!</v>
      </c>
      <c r="D143" t="s">
        <v>223</v>
      </c>
      <c r="E143" t="e">
        <f>INDEX(Bandwidth!#REF!,MATCH($A143,Bandwidth!#REF!,0),MATCH('CompilationCalcs - Bandwidth'!$D143,Bandwidth!#REF!,0))</f>
        <v>#REF!</v>
      </c>
    </row>
    <row r="144" spans="1:12" x14ac:dyDescent="0.2">
      <c r="A144" t="s">
        <v>7</v>
      </c>
      <c r="B144" t="s">
        <v>191</v>
      </c>
      <c r="C144" t="e">
        <f t="shared" si="7"/>
        <v>#REF!</v>
      </c>
      <c r="D144" t="s">
        <v>224</v>
      </c>
      <c r="E144" t="e">
        <f>INDEX(Bandwidth!#REF!,MATCH($A144,Bandwidth!#REF!,0),MATCH('CompilationCalcs - Bandwidth'!$D144,Bandwidth!#REF!,0))</f>
        <v>#REF!</v>
      </c>
    </row>
    <row r="145" spans="1:5" x14ac:dyDescent="0.2">
      <c r="A145" t="s">
        <v>7</v>
      </c>
      <c r="B145" t="s">
        <v>191</v>
      </c>
      <c r="C145" t="e">
        <f t="shared" si="7"/>
        <v>#REF!</v>
      </c>
      <c r="D145" t="s">
        <v>225</v>
      </c>
      <c r="E145" t="e">
        <f>INDEX(Bandwidth!#REF!,MATCH($A145,Bandwidth!#REF!,0),MATCH('CompilationCalcs - Bandwidth'!$D145,Bandwidth!#REF!,0))</f>
        <v>#REF!</v>
      </c>
    </row>
    <row r="146" spans="1:5" x14ac:dyDescent="0.2">
      <c r="A146" t="s">
        <v>7</v>
      </c>
      <c r="B146" t="s">
        <v>191</v>
      </c>
      <c r="C146" t="e">
        <f t="shared" si="7"/>
        <v>#REF!</v>
      </c>
      <c r="D146" t="s">
        <v>226</v>
      </c>
      <c r="E146" t="e">
        <f>INDEX(Bandwidth!#REF!,MATCH($A146,Bandwidth!#REF!,0),MATCH('CompilationCalcs - Bandwidth'!$D146,Bandwidth!#REF!,0))</f>
        <v>#REF!</v>
      </c>
    </row>
    <row r="147" spans="1:5" x14ac:dyDescent="0.2">
      <c r="A147" t="s">
        <v>7</v>
      </c>
      <c r="B147" t="s">
        <v>191</v>
      </c>
      <c r="C147" t="e">
        <f t="shared" si="7"/>
        <v>#REF!</v>
      </c>
      <c r="D147" t="s">
        <v>279</v>
      </c>
      <c r="E147" t="e">
        <f>INDEX(Bandwidth!#REF!,MATCH($A147,Bandwidth!#REF!,0),MATCH('CompilationCalcs - Bandwidth'!$D147,Bandwidth!#REF!,0))</f>
        <v>#REF!</v>
      </c>
    </row>
    <row r="148" spans="1:5" x14ac:dyDescent="0.2">
      <c r="A148" t="s">
        <v>2</v>
      </c>
      <c r="B148" t="s">
        <v>191</v>
      </c>
      <c r="C148" t="e">
        <f t="shared" ref="C148:C163" si="8">E148</f>
        <v>#REF!</v>
      </c>
      <c r="D148" t="s">
        <v>213</v>
      </c>
      <c r="E148" t="e">
        <f>INDEX(Bandwidth!#REF!,MATCH($A148,Bandwidth!#REF!,0),MATCH('CompilationCalcs - Bandwidth'!$D148,Bandwidth!#REF!,0))</f>
        <v>#REF!</v>
      </c>
    </row>
    <row r="149" spans="1:5" x14ac:dyDescent="0.2">
      <c r="A149" t="s">
        <v>2</v>
      </c>
      <c r="B149" t="s">
        <v>191</v>
      </c>
      <c r="C149" t="e">
        <f t="shared" si="8"/>
        <v>#REF!</v>
      </c>
      <c r="D149" t="s">
        <v>214</v>
      </c>
      <c r="E149" t="e">
        <f>INDEX(Bandwidth!#REF!,MATCH($A149,Bandwidth!#REF!,0),MATCH('CompilationCalcs - Bandwidth'!$D149,Bandwidth!#REF!,0))</f>
        <v>#REF!</v>
      </c>
    </row>
    <row r="150" spans="1:5" x14ac:dyDescent="0.2">
      <c r="A150" t="s">
        <v>2</v>
      </c>
      <c r="B150" t="s">
        <v>191</v>
      </c>
      <c r="C150" t="e">
        <f t="shared" si="8"/>
        <v>#REF!</v>
      </c>
      <c r="D150" t="s">
        <v>215</v>
      </c>
      <c r="E150" t="e">
        <f>INDEX(Bandwidth!#REF!,MATCH($A150,Bandwidth!#REF!,0),MATCH('CompilationCalcs - Bandwidth'!$D150,Bandwidth!#REF!,0))</f>
        <v>#REF!</v>
      </c>
    </row>
    <row r="151" spans="1:5" x14ac:dyDescent="0.2">
      <c r="A151" t="s">
        <v>2</v>
      </c>
      <c r="B151" t="s">
        <v>191</v>
      </c>
      <c r="C151" t="e">
        <f t="shared" si="8"/>
        <v>#REF!</v>
      </c>
      <c r="D151" t="s">
        <v>216</v>
      </c>
      <c r="E151" t="e">
        <f>INDEX(Bandwidth!#REF!,MATCH($A151,Bandwidth!#REF!,0),MATCH('CompilationCalcs - Bandwidth'!$D151,Bandwidth!#REF!,0))</f>
        <v>#REF!</v>
      </c>
    </row>
    <row r="152" spans="1:5" x14ac:dyDescent="0.2">
      <c r="A152" t="s">
        <v>2</v>
      </c>
      <c r="B152" t="s">
        <v>191</v>
      </c>
      <c r="C152" t="e">
        <f t="shared" si="8"/>
        <v>#REF!</v>
      </c>
      <c r="D152" t="s">
        <v>217</v>
      </c>
      <c r="E152" t="e">
        <f>INDEX(Bandwidth!#REF!,MATCH($A152,Bandwidth!#REF!,0),MATCH('CompilationCalcs - Bandwidth'!$D152,Bandwidth!#REF!,0))</f>
        <v>#REF!</v>
      </c>
    </row>
    <row r="153" spans="1:5" x14ac:dyDescent="0.2">
      <c r="A153" t="s">
        <v>2</v>
      </c>
      <c r="B153" t="s">
        <v>191</v>
      </c>
      <c r="C153" t="e">
        <f t="shared" si="8"/>
        <v>#REF!</v>
      </c>
      <c r="D153" t="s">
        <v>218</v>
      </c>
      <c r="E153" t="e">
        <f>INDEX(Bandwidth!#REF!,MATCH($A153,Bandwidth!#REF!,0),MATCH('CompilationCalcs - Bandwidth'!$D153,Bandwidth!#REF!,0))</f>
        <v>#REF!</v>
      </c>
    </row>
    <row r="154" spans="1:5" x14ac:dyDescent="0.2">
      <c r="A154" t="s">
        <v>2</v>
      </c>
      <c r="B154" t="s">
        <v>191</v>
      </c>
      <c r="C154" t="e">
        <f t="shared" si="8"/>
        <v>#REF!</v>
      </c>
      <c r="D154" t="s">
        <v>219</v>
      </c>
      <c r="E154" t="e">
        <f>INDEX(Bandwidth!#REF!,MATCH($A154,Bandwidth!#REF!,0),MATCH('CompilationCalcs - Bandwidth'!$D154,Bandwidth!#REF!,0))</f>
        <v>#REF!</v>
      </c>
    </row>
    <row r="155" spans="1:5" x14ac:dyDescent="0.2">
      <c r="A155" t="s">
        <v>2</v>
      </c>
      <c r="B155" t="s">
        <v>191</v>
      </c>
      <c r="C155" t="e">
        <f t="shared" si="8"/>
        <v>#REF!</v>
      </c>
      <c r="D155" t="s">
        <v>302</v>
      </c>
      <c r="E155" t="e">
        <f>INDEX(Bandwidth!#REF!,MATCH($A155,Bandwidth!#REF!,0),MATCH('CompilationCalcs - Bandwidth'!$D155,Bandwidth!#REF!,0))</f>
        <v>#REF!</v>
      </c>
    </row>
    <row r="156" spans="1:5" x14ac:dyDescent="0.2">
      <c r="A156" t="s">
        <v>2</v>
      </c>
      <c r="B156" t="s">
        <v>191</v>
      </c>
      <c r="C156" t="e">
        <f t="shared" si="8"/>
        <v>#REF!</v>
      </c>
      <c r="D156" t="s">
        <v>220</v>
      </c>
      <c r="E156" t="e">
        <f>INDEX(Bandwidth!#REF!,MATCH($A156,Bandwidth!#REF!,0),MATCH('CompilationCalcs - Bandwidth'!$D156,Bandwidth!#REF!,0))</f>
        <v>#REF!</v>
      </c>
    </row>
    <row r="157" spans="1:5" x14ac:dyDescent="0.2">
      <c r="A157" t="s">
        <v>2</v>
      </c>
      <c r="B157" t="s">
        <v>191</v>
      </c>
      <c r="C157" t="e">
        <f t="shared" si="8"/>
        <v>#REF!</v>
      </c>
      <c r="D157" t="s">
        <v>221</v>
      </c>
      <c r="E157" t="e">
        <f>INDEX(Bandwidth!#REF!,MATCH($A157,Bandwidth!#REF!,0),MATCH('CompilationCalcs - Bandwidth'!$D157,Bandwidth!#REF!,0))</f>
        <v>#REF!</v>
      </c>
    </row>
    <row r="158" spans="1:5" x14ac:dyDescent="0.2">
      <c r="A158" t="s">
        <v>2</v>
      </c>
      <c r="B158" t="s">
        <v>191</v>
      </c>
      <c r="C158" t="e">
        <f t="shared" si="8"/>
        <v>#REF!</v>
      </c>
      <c r="D158" t="s">
        <v>222</v>
      </c>
      <c r="E158" t="e">
        <f>INDEX(Bandwidth!#REF!,MATCH($A158,Bandwidth!#REF!,0),MATCH('CompilationCalcs - Bandwidth'!$D158,Bandwidth!#REF!,0))</f>
        <v>#REF!</v>
      </c>
    </row>
    <row r="159" spans="1:5" x14ac:dyDescent="0.2">
      <c r="A159" t="s">
        <v>2</v>
      </c>
      <c r="B159" t="s">
        <v>191</v>
      </c>
      <c r="C159" t="e">
        <f t="shared" si="8"/>
        <v>#REF!</v>
      </c>
      <c r="D159" t="s">
        <v>223</v>
      </c>
      <c r="E159" t="e">
        <f>INDEX(Bandwidth!#REF!,MATCH($A159,Bandwidth!#REF!,0),MATCH('CompilationCalcs - Bandwidth'!$D159,Bandwidth!#REF!,0))</f>
        <v>#REF!</v>
      </c>
    </row>
    <row r="160" spans="1:5" x14ac:dyDescent="0.2">
      <c r="A160" t="s">
        <v>2</v>
      </c>
      <c r="B160" t="s">
        <v>191</v>
      </c>
      <c r="C160" t="e">
        <f t="shared" si="8"/>
        <v>#REF!</v>
      </c>
      <c r="D160" t="s">
        <v>224</v>
      </c>
      <c r="E160" t="e">
        <f>INDEX(Bandwidth!#REF!,MATCH($A160,Bandwidth!#REF!,0),MATCH('CompilationCalcs - Bandwidth'!$D160,Bandwidth!#REF!,0))</f>
        <v>#REF!</v>
      </c>
    </row>
    <row r="161" spans="1:5" x14ac:dyDescent="0.2">
      <c r="A161" t="s">
        <v>2</v>
      </c>
      <c r="B161" t="s">
        <v>191</v>
      </c>
      <c r="C161" t="e">
        <f t="shared" si="8"/>
        <v>#REF!</v>
      </c>
      <c r="D161" t="s">
        <v>225</v>
      </c>
      <c r="E161" t="e">
        <f>INDEX(Bandwidth!#REF!,MATCH($A161,Bandwidth!#REF!,0),MATCH('CompilationCalcs - Bandwidth'!$D161,Bandwidth!#REF!,0))</f>
        <v>#REF!</v>
      </c>
    </row>
    <row r="162" spans="1:5" x14ac:dyDescent="0.2">
      <c r="A162" t="s">
        <v>2</v>
      </c>
      <c r="B162" t="s">
        <v>191</v>
      </c>
      <c r="C162" t="e">
        <f t="shared" si="8"/>
        <v>#REF!</v>
      </c>
      <c r="D162" t="s">
        <v>226</v>
      </c>
      <c r="E162" t="e">
        <f>INDEX(Bandwidth!#REF!,MATCH($A162,Bandwidth!#REF!,0),MATCH('CompilationCalcs - Bandwidth'!$D162,Bandwidth!#REF!,0))</f>
        <v>#REF!</v>
      </c>
    </row>
    <row r="163" spans="1:5" x14ac:dyDescent="0.2">
      <c r="A163" t="s">
        <v>2</v>
      </c>
      <c r="B163" t="s">
        <v>191</v>
      </c>
      <c r="C163" t="e">
        <f t="shared" si="8"/>
        <v>#REF!</v>
      </c>
      <c r="D163" t="s">
        <v>279</v>
      </c>
      <c r="E163" t="e">
        <f>INDEX(Bandwidth!#REF!,MATCH($A163,Bandwidth!#REF!,0),MATCH('CompilationCalcs - Bandwidth'!$D163,Bandwidth!#REF!,0))</f>
        <v>#REF!</v>
      </c>
    </row>
    <row r="164" spans="1:5" x14ac:dyDescent="0.2">
      <c r="A164" t="s">
        <v>30</v>
      </c>
      <c r="B164" t="s">
        <v>191</v>
      </c>
      <c r="C164" t="e">
        <f t="shared" ref="C164:C179" si="9">E164</f>
        <v>#REF!</v>
      </c>
      <c r="D164" t="s">
        <v>213</v>
      </c>
      <c r="E164" t="e">
        <f>INDEX(Bandwidth!#REF!,MATCH($A164,Bandwidth!#REF!,0),MATCH('CompilationCalcs - Bandwidth'!$D164,Bandwidth!#REF!,0))</f>
        <v>#REF!</v>
      </c>
    </row>
    <row r="165" spans="1:5" x14ac:dyDescent="0.2">
      <c r="A165" t="s">
        <v>30</v>
      </c>
      <c r="B165" t="s">
        <v>191</v>
      </c>
      <c r="C165" t="e">
        <f t="shared" si="9"/>
        <v>#REF!</v>
      </c>
      <c r="D165" t="s">
        <v>214</v>
      </c>
      <c r="E165" t="e">
        <f>INDEX(Bandwidth!#REF!,MATCH($A165,Bandwidth!#REF!,0),MATCH('CompilationCalcs - Bandwidth'!$D165,Bandwidth!#REF!,0))</f>
        <v>#REF!</v>
      </c>
    </row>
    <row r="166" spans="1:5" x14ac:dyDescent="0.2">
      <c r="A166" t="s">
        <v>30</v>
      </c>
      <c r="B166" t="s">
        <v>191</v>
      </c>
      <c r="C166" t="e">
        <f t="shared" si="9"/>
        <v>#REF!</v>
      </c>
      <c r="D166" t="s">
        <v>215</v>
      </c>
      <c r="E166" t="e">
        <f>INDEX(Bandwidth!#REF!,MATCH($A166,Bandwidth!#REF!,0),MATCH('CompilationCalcs - Bandwidth'!$D166,Bandwidth!#REF!,0))</f>
        <v>#REF!</v>
      </c>
    </row>
    <row r="167" spans="1:5" x14ac:dyDescent="0.2">
      <c r="A167" t="s">
        <v>30</v>
      </c>
      <c r="B167" t="s">
        <v>191</v>
      </c>
      <c r="C167" t="e">
        <f t="shared" si="9"/>
        <v>#REF!</v>
      </c>
      <c r="D167" t="s">
        <v>216</v>
      </c>
      <c r="E167" t="e">
        <f>INDEX(Bandwidth!#REF!,MATCH($A167,Bandwidth!#REF!,0),MATCH('CompilationCalcs - Bandwidth'!$D167,Bandwidth!#REF!,0))</f>
        <v>#REF!</v>
      </c>
    </row>
    <row r="168" spans="1:5" x14ac:dyDescent="0.2">
      <c r="A168" t="s">
        <v>30</v>
      </c>
      <c r="B168" t="s">
        <v>191</v>
      </c>
      <c r="C168" t="e">
        <f t="shared" si="9"/>
        <v>#REF!</v>
      </c>
      <c r="D168" t="s">
        <v>217</v>
      </c>
      <c r="E168" t="e">
        <f>INDEX(Bandwidth!#REF!,MATCH($A168,Bandwidth!#REF!,0),MATCH('CompilationCalcs - Bandwidth'!$D168,Bandwidth!#REF!,0))</f>
        <v>#REF!</v>
      </c>
    </row>
    <row r="169" spans="1:5" x14ac:dyDescent="0.2">
      <c r="A169" t="s">
        <v>30</v>
      </c>
      <c r="B169" t="s">
        <v>191</v>
      </c>
      <c r="C169" t="e">
        <f t="shared" si="9"/>
        <v>#REF!</v>
      </c>
      <c r="D169" t="s">
        <v>218</v>
      </c>
      <c r="E169" t="e">
        <f>INDEX(Bandwidth!#REF!,MATCH($A169,Bandwidth!#REF!,0),MATCH('CompilationCalcs - Bandwidth'!$D169,Bandwidth!#REF!,0))</f>
        <v>#REF!</v>
      </c>
    </row>
    <row r="170" spans="1:5" x14ac:dyDescent="0.2">
      <c r="A170" t="s">
        <v>30</v>
      </c>
      <c r="B170" t="s">
        <v>191</v>
      </c>
      <c r="C170" t="e">
        <f t="shared" si="9"/>
        <v>#REF!</v>
      </c>
      <c r="D170" t="s">
        <v>219</v>
      </c>
      <c r="E170" t="e">
        <f>INDEX(Bandwidth!#REF!,MATCH($A170,Bandwidth!#REF!,0),MATCH('CompilationCalcs - Bandwidth'!$D170,Bandwidth!#REF!,0))</f>
        <v>#REF!</v>
      </c>
    </row>
    <row r="171" spans="1:5" x14ac:dyDescent="0.2">
      <c r="A171" t="s">
        <v>30</v>
      </c>
      <c r="B171" t="s">
        <v>191</v>
      </c>
      <c r="C171" t="e">
        <f t="shared" si="9"/>
        <v>#REF!</v>
      </c>
      <c r="D171" t="s">
        <v>302</v>
      </c>
      <c r="E171" t="e">
        <f>INDEX(Bandwidth!#REF!,MATCH($A171,Bandwidth!#REF!,0),MATCH('CompilationCalcs - Bandwidth'!$D171,Bandwidth!#REF!,0))</f>
        <v>#REF!</v>
      </c>
    </row>
    <row r="172" spans="1:5" x14ac:dyDescent="0.2">
      <c r="A172" t="s">
        <v>30</v>
      </c>
      <c r="B172" t="s">
        <v>191</v>
      </c>
      <c r="C172" t="e">
        <f t="shared" si="9"/>
        <v>#REF!</v>
      </c>
      <c r="D172" t="s">
        <v>220</v>
      </c>
      <c r="E172" t="e">
        <f>INDEX(Bandwidth!#REF!,MATCH($A172,Bandwidth!#REF!,0),MATCH('CompilationCalcs - Bandwidth'!$D172,Bandwidth!#REF!,0))</f>
        <v>#REF!</v>
      </c>
    </row>
    <row r="173" spans="1:5" x14ac:dyDescent="0.2">
      <c r="A173" t="s">
        <v>30</v>
      </c>
      <c r="B173" t="s">
        <v>191</v>
      </c>
      <c r="C173" t="e">
        <f t="shared" si="9"/>
        <v>#REF!</v>
      </c>
      <c r="D173" t="s">
        <v>221</v>
      </c>
      <c r="E173" t="e">
        <f>INDEX(Bandwidth!#REF!,MATCH($A173,Bandwidth!#REF!,0),MATCH('CompilationCalcs - Bandwidth'!$D173,Bandwidth!#REF!,0))</f>
        <v>#REF!</v>
      </c>
    </row>
    <row r="174" spans="1:5" x14ac:dyDescent="0.2">
      <c r="A174" t="s">
        <v>30</v>
      </c>
      <c r="B174" t="s">
        <v>191</v>
      </c>
      <c r="C174" t="e">
        <f t="shared" si="9"/>
        <v>#REF!</v>
      </c>
      <c r="D174" t="s">
        <v>222</v>
      </c>
      <c r="E174" t="e">
        <f>INDEX(Bandwidth!#REF!,MATCH($A174,Bandwidth!#REF!,0),MATCH('CompilationCalcs - Bandwidth'!$D174,Bandwidth!#REF!,0))</f>
        <v>#REF!</v>
      </c>
    </row>
    <row r="175" spans="1:5" x14ac:dyDescent="0.2">
      <c r="A175" t="s">
        <v>30</v>
      </c>
      <c r="B175" t="s">
        <v>191</v>
      </c>
      <c r="C175" t="e">
        <f t="shared" si="9"/>
        <v>#REF!</v>
      </c>
      <c r="D175" t="s">
        <v>223</v>
      </c>
      <c r="E175" t="e">
        <f>INDEX(Bandwidth!#REF!,MATCH($A175,Bandwidth!#REF!,0),MATCH('CompilationCalcs - Bandwidth'!$D175,Bandwidth!#REF!,0))</f>
        <v>#REF!</v>
      </c>
    </row>
    <row r="176" spans="1:5" x14ac:dyDescent="0.2">
      <c r="A176" t="s">
        <v>30</v>
      </c>
      <c r="B176" t="s">
        <v>191</v>
      </c>
      <c r="C176" t="e">
        <f t="shared" si="9"/>
        <v>#REF!</v>
      </c>
      <c r="D176" t="s">
        <v>224</v>
      </c>
      <c r="E176" t="e">
        <f>INDEX(Bandwidth!#REF!,MATCH($A176,Bandwidth!#REF!,0),MATCH('CompilationCalcs - Bandwidth'!$D176,Bandwidth!#REF!,0))</f>
        <v>#REF!</v>
      </c>
    </row>
    <row r="177" spans="1:5" x14ac:dyDescent="0.2">
      <c r="A177" t="s">
        <v>30</v>
      </c>
      <c r="B177" t="s">
        <v>191</v>
      </c>
      <c r="C177" t="e">
        <f t="shared" si="9"/>
        <v>#REF!</v>
      </c>
      <c r="D177" t="s">
        <v>225</v>
      </c>
      <c r="E177" t="e">
        <f>INDEX(Bandwidth!#REF!,MATCH($A177,Bandwidth!#REF!,0),MATCH('CompilationCalcs - Bandwidth'!$D177,Bandwidth!#REF!,0))</f>
        <v>#REF!</v>
      </c>
    </row>
    <row r="178" spans="1:5" x14ac:dyDescent="0.2">
      <c r="A178" t="s">
        <v>30</v>
      </c>
      <c r="B178" t="s">
        <v>191</v>
      </c>
      <c r="C178" t="e">
        <f t="shared" si="9"/>
        <v>#REF!</v>
      </c>
      <c r="D178" t="s">
        <v>226</v>
      </c>
      <c r="E178" t="e">
        <f>INDEX(Bandwidth!#REF!,MATCH($A178,Bandwidth!#REF!,0),MATCH('CompilationCalcs - Bandwidth'!$D178,Bandwidth!#REF!,0))</f>
        <v>#REF!</v>
      </c>
    </row>
    <row r="179" spans="1:5" x14ac:dyDescent="0.2">
      <c r="A179" t="s">
        <v>30</v>
      </c>
      <c r="B179" t="s">
        <v>191</v>
      </c>
      <c r="C179" t="e">
        <f t="shared" si="9"/>
        <v>#REF!</v>
      </c>
      <c r="D179" t="s">
        <v>279</v>
      </c>
      <c r="E179" t="e">
        <f>INDEX(Bandwidth!#REF!,MATCH($A179,Bandwidth!#REF!,0),MATCH('CompilationCalcs - Bandwidth'!$D179,Bandwidth!#REF!,0))</f>
        <v>#REF!</v>
      </c>
    </row>
    <row r="180" spans="1:5" x14ac:dyDescent="0.2">
      <c r="A180" t="s">
        <v>31</v>
      </c>
      <c r="B180" t="s">
        <v>191</v>
      </c>
      <c r="C180" t="e">
        <f t="shared" ref="C180:C195" si="10">E180</f>
        <v>#REF!</v>
      </c>
      <c r="D180" t="s">
        <v>213</v>
      </c>
      <c r="E180" t="e">
        <f>INDEX(Bandwidth!#REF!,MATCH($A180,Bandwidth!#REF!,0),MATCH('CompilationCalcs - Bandwidth'!$D180,Bandwidth!#REF!,0))</f>
        <v>#REF!</v>
      </c>
    </row>
    <row r="181" spans="1:5" x14ac:dyDescent="0.2">
      <c r="A181" t="s">
        <v>31</v>
      </c>
      <c r="B181" t="s">
        <v>191</v>
      </c>
      <c r="C181" t="e">
        <f t="shared" si="10"/>
        <v>#REF!</v>
      </c>
      <c r="D181" t="s">
        <v>214</v>
      </c>
      <c r="E181" t="e">
        <f>INDEX(Bandwidth!#REF!,MATCH($A181,Bandwidth!#REF!,0),MATCH('CompilationCalcs - Bandwidth'!$D181,Bandwidth!#REF!,0))</f>
        <v>#REF!</v>
      </c>
    </row>
    <row r="182" spans="1:5" x14ac:dyDescent="0.2">
      <c r="A182" t="s">
        <v>31</v>
      </c>
      <c r="B182" t="s">
        <v>191</v>
      </c>
      <c r="C182" t="e">
        <f t="shared" si="10"/>
        <v>#REF!</v>
      </c>
      <c r="D182" t="s">
        <v>215</v>
      </c>
      <c r="E182" t="e">
        <f>INDEX(Bandwidth!#REF!,MATCH($A182,Bandwidth!#REF!,0),MATCH('CompilationCalcs - Bandwidth'!$D182,Bandwidth!#REF!,0))</f>
        <v>#REF!</v>
      </c>
    </row>
    <row r="183" spans="1:5" x14ac:dyDescent="0.2">
      <c r="A183" t="s">
        <v>31</v>
      </c>
      <c r="B183" t="s">
        <v>191</v>
      </c>
      <c r="C183" t="e">
        <f t="shared" si="10"/>
        <v>#REF!</v>
      </c>
      <c r="D183" t="s">
        <v>216</v>
      </c>
      <c r="E183" t="e">
        <f>INDEX(Bandwidth!#REF!,MATCH($A183,Bandwidth!#REF!,0),MATCH('CompilationCalcs - Bandwidth'!$D183,Bandwidth!#REF!,0))</f>
        <v>#REF!</v>
      </c>
    </row>
    <row r="184" spans="1:5" x14ac:dyDescent="0.2">
      <c r="A184" t="s">
        <v>31</v>
      </c>
      <c r="B184" t="s">
        <v>191</v>
      </c>
      <c r="C184" t="e">
        <f t="shared" si="10"/>
        <v>#REF!</v>
      </c>
      <c r="D184" t="s">
        <v>217</v>
      </c>
      <c r="E184" t="e">
        <f>INDEX(Bandwidth!#REF!,MATCH($A184,Bandwidth!#REF!,0),MATCH('CompilationCalcs - Bandwidth'!$D184,Bandwidth!#REF!,0))</f>
        <v>#REF!</v>
      </c>
    </row>
    <row r="185" spans="1:5" x14ac:dyDescent="0.2">
      <c r="A185" t="s">
        <v>31</v>
      </c>
      <c r="B185" t="s">
        <v>191</v>
      </c>
      <c r="C185" t="e">
        <f t="shared" si="10"/>
        <v>#REF!</v>
      </c>
      <c r="D185" t="s">
        <v>218</v>
      </c>
      <c r="E185" t="e">
        <f>INDEX(Bandwidth!#REF!,MATCH($A185,Bandwidth!#REF!,0),MATCH('CompilationCalcs - Bandwidth'!$D185,Bandwidth!#REF!,0))</f>
        <v>#REF!</v>
      </c>
    </row>
    <row r="186" spans="1:5" x14ac:dyDescent="0.2">
      <c r="A186" t="s">
        <v>31</v>
      </c>
      <c r="B186" t="s">
        <v>191</v>
      </c>
      <c r="C186" t="e">
        <f t="shared" si="10"/>
        <v>#REF!</v>
      </c>
      <c r="D186" t="s">
        <v>219</v>
      </c>
      <c r="E186" t="e">
        <f>INDEX(Bandwidth!#REF!,MATCH($A186,Bandwidth!#REF!,0),MATCH('CompilationCalcs - Bandwidth'!$D186,Bandwidth!#REF!,0))</f>
        <v>#REF!</v>
      </c>
    </row>
    <row r="187" spans="1:5" x14ac:dyDescent="0.2">
      <c r="A187" t="s">
        <v>31</v>
      </c>
      <c r="B187" t="s">
        <v>191</v>
      </c>
      <c r="C187" t="e">
        <f t="shared" si="10"/>
        <v>#REF!</v>
      </c>
      <c r="D187" t="s">
        <v>302</v>
      </c>
      <c r="E187" t="e">
        <f>INDEX(Bandwidth!#REF!,MATCH($A187,Bandwidth!#REF!,0),MATCH('CompilationCalcs - Bandwidth'!$D187,Bandwidth!#REF!,0))</f>
        <v>#REF!</v>
      </c>
    </row>
    <row r="188" spans="1:5" x14ac:dyDescent="0.2">
      <c r="A188" t="s">
        <v>31</v>
      </c>
      <c r="B188" t="s">
        <v>191</v>
      </c>
      <c r="C188" t="e">
        <f t="shared" si="10"/>
        <v>#REF!</v>
      </c>
      <c r="D188" t="s">
        <v>220</v>
      </c>
      <c r="E188" t="e">
        <f>INDEX(Bandwidth!#REF!,MATCH($A188,Bandwidth!#REF!,0),MATCH('CompilationCalcs - Bandwidth'!$D188,Bandwidth!#REF!,0))</f>
        <v>#REF!</v>
      </c>
    </row>
    <row r="189" spans="1:5" x14ac:dyDescent="0.2">
      <c r="A189" t="s">
        <v>31</v>
      </c>
      <c r="B189" t="s">
        <v>191</v>
      </c>
      <c r="C189" t="e">
        <f t="shared" si="10"/>
        <v>#REF!</v>
      </c>
      <c r="D189" t="s">
        <v>221</v>
      </c>
      <c r="E189" t="e">
        <f>INDEX(Bandwidth!#REF!,MATCH($A189,Bandwidth!#REF!,0),MATCH('CompilationCalcs - Bandwidth'!$D189,Bandwidth!#REF!,0))</f>
        <v>#REF!</v>
      </c>
    </row>
    <row r="190" spans="1:5" x14ac:dyDescent="0.2">
      <c r="A190" t="s">
        <v>31</v>
      </c>
      <c r="B190" t="s">
        <v>191</v>
      </c>
      <c r="C190" t="e">
        <f t="shared" si="10"/>
        <v>#REF!</v>
      </c>
      <c r="D190" t="s">
        <v>222</v>
      </c>
      <c r="E190" t="e">
        <f>INDEX(Bandwidth!#REF!,MATCH($A190,Bandwidth!#REF!,0),MATCH('CompilationCalcs - Bandwidth'!$D190,Bandwidth!#REF!,0))</f>
        <v>#REF!</v>
      </c>
    </row>
    <row r="191" spans="1:5" x14ac:dyDescent="0.2">
      <c r="A191" t="s">
        <v>31</v>
      </c>
      <c r="B191" t="s">
        <v>191</v>
      </c>
      <c r="C191" t="e">
        <f t="shared" si="10"/>
        <v>#REF!</v>
      </c>
      <c r="D191" t="s">
        <v>223</v>
      </c>
      <c r="E191" t="e">
        <f>INDEX(Bandwidth!#REF!,MATCH($A191,Bandwidth!#REF!,0),MATCH('CompilationCalcs - Bandwidth'!$D191,Bandwidth!#REF!,0))</f>
        <v>#REF!</v>
      </c>
    </row>
    <row r="192" spans="1:5" x14ac:dyDescent="0.2">
      <c r="A192" t="s">
        <v>31</v>
      </c>
      <c r="B192" t="s">
        <v>191</v>
      </c>
      <c r="C192" t="e">
        <f t="shared" si="10"/>
        <v>#REF!</v>
      </c>
      <c r="D192" t="s">
        <v>224</v>
      </c>
      <c r="E192" t="e">
        <f>INDEX(Bandwidth!#REF!,MATCH($A192,Bandwidth!#REF!,0),MATCH('CompilationCalcs - Bandwidth'!$D192,Bandwidth!#REF!,0))</f>
        <v>#REF!</v>
      </c>
    </row>
    <row r="193" spans="1:5" x14ac:dyDescent="0.2">
      <c r="A193" t="s">
        <v>31</v>
      </c>
      <c r="B193" t="s">
        <v>191</v>
      </c>
      <c r="C193" t="e">
        <f t="shared" si="10"/>
        <v>#REF!</v>
      </c>
      <c r="D193" t="s">
        <v>225</v>
      </c>
      <c r="E193" t="e">
        <f>INDEX(Bandwidth!#REF!,MATCH($A193,Bandwidth!#REF!,0),MATCH('CompilationCalcs - Bandwidth'!$D193,Bandwidth!#REF!,0))</f>
        <v>#REF!</v>
      </c>
    </row>
    <row r="194" spans="1:5" x14ac:dyDescent="0.2">
      <c r="A194" t="s">
        <v>31</v>
      </c>
      <c r="B194" t="s">
        <v>191</v>
      </c>
      <c r="C194" t="e">
        <f t="shared" si="10"/>
        <v>#REF!</v>
      </c>
      <c r="D194" t="s">
        <v>226</v>
      </c>
      <c r="E194" t="e">
        <f>INDEX(Bandwidth!#REF!,MATCH($A194,Bandwidth!#REF!,0),MATCH('CompilationCalcs - Bandwidth'!$D194,Bandwidth!#REF!,0))</f>
        <v>#REF!</v>
      </c>
    </row>
    <row r="195" spans="1:5" x14ac:dyDescent="0.2">
      <c r="A195" t="s">
        <v>31</v>
      </c>
      <c r="B195" t="s">
        <v>191</v>
      </c>
      <c r="C195" t="e">
        <f t="shared" si="10"/>
        <v>#REF!</v>
      </c>
      <c r="D195" t="s">
        <v>279</v>
      </c>
      <c r="E195" t="e">
        <f>INDEX(Bandwidth!#REF!,MATCH($A195,Bandwidth!#REF!,0),MATCH('CompilationCalcs - Bandwidth'!$D195,Bandwidth!#REF!,0))</f>
        <v>#REF!</v>
      </c>
    </row>
    <row r="196" spans="1:5" x14ac:dyDescent="0.2">
      <c r="A196" t="s">
        <v>122</v>
      </c>
      <c r="B196" t="s">
        <v>191</v>
      </c>
      <c r="C196" t="e">
        <f t="shared" ref="C196:C211" si="11">E196</f>
        <v>#REF!</v>
      </c>
      <c r="D196" t="s">
        <v>213</v>
      </c>
      <c r="E196" t="e">
        <f>INDEX(Bandwidth!#REF!,MATCH($A196,Bandwidth!#REF!,0),MATCH('CompilationCalcs - Bandwidth'!$D196,Bandwidth!#REF!,0))</f>
        <v>#REF!</v>
      </c>
    </row>
    <row r="197" spans="1:5" x14ac:dyDescent="0.2">
      <c r="A197" t="s">
        <v>122</v>
      </c>
      <c r="B197" t="s">
        <v>191</v>
      </c>
      <c r="C197" t="e">
        <f t="shared" si="11"/>
        <v>#REF!</v>
      </c>
      <c r="D197" t="s">
        <v>214</v>
      </c>
      <c r="E197" t="e">
        <f>INDEX(Bandwidth!#REF!,MATCH($A197,Bandwidth!#REF!,0),MATCH('CompilationCalcs - Bandwidth'!$D197,Bandwidth!#REF!,0))</f>
        <v>#REF!</v>
      </c>
    </row>
    <row r="198" spans="1:5" x14ac:dyDescent="0.2">
      <c r="A198" t="s">
        <v>122</v>
      </c>
      <c r="B198" t="s">
        <v>191</v>
      </c>
      <c r="C198" t="e">
        <f t="shared" si="11"/>
        <v>#REF!</v>
      </c>
      <c r="D198" t="s">
        <v>215</v>
      </c>
      <c r="E198" t="e">
        <f>INDEX(Bandwidth!#REF!,MATCH($A198,Bandwidth!#REF!,0),MATCH('CompilationCalcs - Bandwidth'!$D198,Bandwidth!#REF!,0))</f>
        <v>#REF!</v>
      </c>
    </row>
    <row r="199" spans="1:5" x14ac:dyDescent="0.2">
      <c r="A199" t="s">
        <v>122</v>
      </c>
      <c r="B199" t="s">
        <v>191</v>
      </c>
      <c r="C199" t="e">
        <f t="shared" si="11"/>
        <v>#REF!</v>
      </c>
      <c r="D199" t="s">
        <v>216</v>
      </c>
      <c r="E199" t="e">
        <f>INDEX(Bandwidth!#REF!,MATCH($A199,Bandwidth!#REF!,0),MATCH('CompilationCalcs - Bandwidth'!$D199,Bandwidth!#REF!,0))</f>
        <v>#REF!</v>
      </c>
    </row>
    <row r="200" spans="1:5" x14ac:dyDescent="0.2">
      <c r="A200" t="s">
        <v>122</v>
      </c>
      <c r="B200" t="s">
        <v>191</v>
      </c>
      <c r="C200" t="e">
        <f t="shared" si="11"/>
        <v>#REF!</v>
      </c>
      <c r="D200" t="s">
        <v>217</v>
      </c>
      <c r="E200" t="e">
        <f>INDEX(Bandwidth!#REF!,MATCH($A200,Bandwidth!#REF!,0),MATCH('CompilationCalcs - Bandwidth'!$D200,Bandwidth!#REF!,0))</f>
        <v>#REF!</v>
      </c>
    </row>
    <row r="201" spans="1:5" x14ac:dyDescent="0.2">
      <c r="A201" t="s">
        <v>122</v>
      </c>
      <c r="B201" t="s">
        <v>191</v>
      </c>
      <c r="C201" t="e">
        <f t="shared" si="11"/>
        <v>#REF!</v>
      </c>
      <c r="D201" t="s">
        <v>218</v>
      </c>
      <c r="E201" t="e">
        <f>INDEX(Bandwidth!#REF!,MATCH($A201,Bandwidth!#REF!,0),MATCH('CompilationCalcs - Bandwidth'!$D201,Bandwidth!#REF!,0))</f>
        <v>#REF!</v>
      </c>
    </row>
    <row r="202" spans="1:5" x14ac:dyDescent="0.2">
      <c r="A202" t="s">
        <v>122</v>
      </c>
      <c r="B202" t="s">
        <v>191</v>
      </c>
      <c r="C202" t="e">
        <f t="shared" si="11"/>
        <v>#REF!</v>
      </c>
      <c r="D202" t="s">
        <v>219</v>
      </c>
      <c r="E202" t="e">
        <f>INDEX(Bandwidth!#REF!,MATCH($A202,Bandwidth!#REF!,0),MATCH('CompilationCalcs - Bandwidth'!$D202,Bandwidth!#REF!,0))</f>
        <v>#REF!</v>
      </c>
    </row>
    <row r="203" spans="1:5" x14ac:dyDescent="0.2">
      <c r="A203" t="s">
        <v>122</v>
      </c>
      <c r="B203" t="s">
        <v>191</v>
      </c>
      <c r="C203" t="e">
        <f t="shared" si="11"/>
        <v>#REF!</v>
      </c>
      <c r="D203" t="s">
        <v>302</v>
      </c>
      <c r="E203" t="e">
        <f>INDEX(Bandwidth!#REF!,MATCH($A203,Bandwidth!#REF!,0),MATCH('CompilationCalcs - Bandwidth'!$D203,Bandwidth!#REF!,0))</f>
        <v>#REF!</v>
      </c>
    </row>
    <row r="204" spans="1:5" x14ac:dyDescent="0.2">
      <c r="A204" t="s">
        <v>122</v>
      </c>
      <c r="B204" t="s">
        <v>191</v>
      </c>
      <c r="C204" t="e">
        <f t="shared" si="11"/>
        <v>#REF!</v>
      </c>
      <c r="D204" t="s">
        <v>220</v>
      </c>
      <c r="E204" t="e">
        <f>INDEX(Bandwidth!#REF!,MATCH($A204,Bandwidth!#REF!,0),MATCH('CompilationCalcs - Bandwidth'!$D204,Bandwidth!#REF!,0))</f>
        <v>#REF!</v>
      </c>
    </row>
    <row r="205" spans="1:5" x14ac:dyDescent="0.2">
      <c r="A205" t="s">
        <v>122</v>
      </c>
      <c r="B205" t="s">
        <v>191</v>
      </c>
      <c r="C205" t="e">
        <f t="shared" si="11"/>
        <v>#REF!</v>
      </c>
      <c r="D205" t="s">
        <v>221</v>
      </c>
      <c r="E205" t="e">
        <f>INDEX(Bandwidth!#REF!,MATCH($A205,Bandwidth!#REF!,0),MATCH('CompilationCalcs - Bandwidth'!$D205,Bandwidth!#REF!,0))</f>
        <v>#REF!</v>
      </c>
    </row>
    <row r="206" spans="1:5" x14ac:dyDescent="0.2">
      <c r="A206" t="s">
        <v>122</v>
      </c>
      <c r="B206" t="s">
        <v>191</v>
      </c>
      <c r="C206" t="e">
        <f t="shared" si="11"/>
        <v>#REF!</v>
      </c>
      <c r="D206" t="s">
        <v>222</v>
      </c>
      <c r="E206" t="e">
        <f>INDEX(Bandwidth!#REF!,MATCH($A206,Bandwidth!#REF!,0),MATCH('CompilationCalcs - Bandwidth'!$D206,Bandwidth!#REF!,0))</f>
        <v>#REF!</v>
      </c>
    </row>
    <row r="207" spans="1:5" x14ac:dyDescent="0.2">
      <c r="A207" t="s">
        <v>122</v>
      </c>
      <c r="B207" t="s">
        <v>191</v>
      </c>
      <c r="C207" t="e">
        <f t="shared" si="11"/>
        <v>#REF!</v>
      </c>
      <c r="D207" t="s">
        <v>223</v>
      </c>
      <c r="E207" t="e">
        <f>INDEX(Bandwidth!#REF!,MATCH($A207,Bandwidth!#REF!,0),MATCH('CompilationCalcs - Bandwidth'!$D207,Bandwidth!#REF!,0))</f>
        <v>#REF!</v>
      </c>
    </row>
    <row r="208" spans="1:5" x14ac:dyDescent="0.2">
      <c r="A208" t="s">
        <v>122</v>
      </c>
      <c r="B208" t="s">
        <v>191</v>
      </c>
      <c r="C208" t="e">
        <f t="shared" si="11"/>
        <v>#REF!</v>
      </c>
      <c r="D208" t="s">
        <v>224</v>
      </c>
      <c r="E208" t="e">
        <f>INDEX(Bandwidth!#REF!,MATCH($A208,Bandwidth!#REF!,0),MATCH('CompilationCalcs - Bandwidth'!$D208,Bandwidth!#REF!,0))</f>
        <v>#REF!</v>
      </c>
    </row>
    <row r="209" spans="1:5" x14ac:dyDescent="0.2">
      <c r="A209" t="s">
        <v>122</v>
      </c>
      <c r="B209" t="s">
        <v>191</v>
      </c>
      <c r="C209" t="e">
        <f t="shared" si="11"/>
        <v>#REF!</v>
      </c>
      <c r="D209" t="s">
        <v>225</v>
      </c>
      <c r="E209" t="e">
        <f>INDEX(Bandwidth!#REF!,MATCH($A209,Bandwidth!#REF!,0),MATCH('CompilationCalcs - Bandwidth'!$D209,Bandwidth!#REF!,0))</f>
        <v>#REF!</v>
      </c>
    </row>
    <row r="210" spans="1:5" x14ac:dyDescent="0.2">
      <c r="A210" t="s">
        <v>122</v>
      </c>
      <c r="B210" t="s">
        <v>191</v>
      </c>
      <c r="C210" t="e">
        <f t="shared" si="11"/>
        <v>#REF!</v>
      </c>
      <c r="D210" t="s">
        <v>226</v>
      </c>
      <c r="E210" t="e">
        <f>INDEX(Bandwidth!#REF!,MATCH($A210,Bandwidth!#REF!,0),MATCH('CompilationCalcs - Bandwidth'!$D210,Bandwidth!#REF!,0))</f>
        <v>#REF!</v>
      </c>
    </row>
    <row r="211" spans="1:5" x14ac:dyDescent="0.2">
      <c r="A211" t="s">
        <v>122</v>
      </c>
      <c r="B211" t="s">
        <v>191</v>
      </c>
      <c r="C211" t="e">
        <f t="shared" si="11"/>
        <v>#REF!</v>
      </c>
      <c r="D211" t="s">
        <v>279</v>
      </c>
      <c r="E211" t="e">
        <f>INDEX(Bandwidth!#REF!,MATCH($A211,Bandwidth!#REF!,0),MATCH('CompilationCalcs - Bandwidth'!$D211,Bandwidth!#REF!,0))</f>
        <v>#REF!</v>
      </c>
    </row>
    <row r="212" spans="1:5" x14ac:dyDescent="0.2">
      <c r="A212" t="s">
        <v>32</v>
      </c>
      <c r="B212" t="s">
        <v>191</v>
      </c>
      <c r="C212" t="e">
        <f t="shared" ref="C212:C227" si="12">E212</f>
        <v>#REF!</v>
      </c>
      <c r="D212" t="s">
        <v>213</v>
      </c>
      <c r="E212" t="e">
        <f>INDEX(Bandwidth!#REF!,MATCH($A212,Bandwidth!#REF!,0),MATCH('CompilationCalcs - Bandwidth'!$D212,Bandwidth!#REF!,0))</f>
        <v>#REF!</v>
      </c>
    </row>
    <row r="213" spans="1:5" x14ac:dyDescent="0.2">
      <c r="A213" t="s">
        <v>32</v>
      </c>
      <c r="B213" t="s">
        <v>191</v>
      </c>
      <c r="C213" t="e">
        <f t="shared" si="12"/>
        <v>#REF!</v>
      </c>
      <c r="D213" t="s">
        <v>214</v>
      </c>
      <c r="E213" t="e">
        <f>INDEX(Bandwidth!#REF!,MATCH($A213,Bandwidth!#REF!,0),MATCH('CompilationCalcs - Bandwidth'!$D213,Bandwidth!#REF!,0))</f>
        <v>#REF!</v>
      </c>
    </row>
    <row r="214" spans="1:5" x14ac:dyDescent="0.2">
      <c r="A214" t="s">
        <v>32</v>
      </c>
      <c r="B214" t="s">
        <v>191</v>
      </c>
      <c r="C214" t="e">
        <f t="shared" si="12"/>
        <v>#REF!</v>
      </c>
      <c r="D214" t="s">
        <v>215</v>
      </c>
      <c r="E214" t="e">
        <f>INDEX(Bandwidth!#REF!,MATCH($A214,Bandwidth!#REF!,0),MATCH('CompilationCalcs - Bandwidth'!$D214,Bandwidth!#REF!,0))</f>
        <v>#REF!</v>
      </c>
    </row>
    <row r="215" spans="1:5" x14ac:dyDescent="0.2">
      <c r="A215" t="s">
        <v>32</v>
      </c>
      <c r="B215" t="s">
        <v>191</v>
      </c>
      <c r="C215" t="e">
        <f t="shared" si="12"/>
        <v>#REF!</v>
      </c>
      <c r="D215" t="s">
        <v>216</v>
      </c>
      <c r="E215" t="e">
        <f>INDEX(Bandwidth!#REF!,MATCH($A215,Bandwidth!#REF!,0),MATCH('CompilationCalcs - Bandwidth'!$D215,Bandwidth!#REF!,0))</f>
        <v>#REF!</v>
      </c>
    </row>
    <row r="216" spans="1:5" x14ac:dyDescent="0.2">
      <c r="A216" t="s">
        <v>32</v>
      </c>
      <c r="B216" t="s">
        <v>191</v>
      </c>
      <c r="C216" t="e">
        <f t="shared" si="12"/>
        <v>#REF!</v>
      </c>
      <c r="D216" t="s">
        <v>217</v>
      </c>
      <c r="E216" t="e">
        <f>INDEX(Bandwidth!#REF!,MATCH($A216,Bandwidth!#REF!,0),MATCH('CompilationCalcs - Bandwidth'!$D216,Bandwidth!#REF!,0))</f>
        <v>#REF!</v>
      </c>
    </row>
    <row r="217" spans="1:5" x14ac:dyDescent="0.2">
      <c r="A217" t="s">
        <v>32</v>
      </c>
      <c r="B217" t="s">
        <v>191</v>
      </c>
      <c r="C217" t="e">
        <f t="shared" si="12"/>
        <v>#REF!</v>
      </c>
      <c r="D217" t="s">
        <v>218</v>
      </c>
      <c r="E217" t="e">
        <f>INDEX(Bandwidth!#REF!,MATCH($A217,Bandwidth!#REF!,0),MATCH('CompilationCalcs - Bandwidth'!$D217,Bandwidth!#REF!,0))</f>
        <v>#REF!</v>
      </c>
    </row>
    <row r="218" spans="1:5" x14ac:dyDescent="0.2">
      <c r="A218" t="s">
        <v>32</v>
      </c>
      <c r="B218" t="s">
        <v>191</v>
      </c>
      <c r="C218" t="e">
        <f t="shared" si="12"/>
        <v>#REF!</v>
      </c>
      <c r="D218" t="s">
        <v>219</v>
      </c>
      <c r="E218" t="e">
        <f>INDEX(Bandwidth!#REF!,MATCH($A218,Bandwidth!#REF!,0),MATCH('CompilationCalcs - Bandwidth'!$D218,Bandwidth!#REF!,0))</f>
        <v>#REF!</v>
      </c>
    </row>
    <row r="219" spans="1:5" x14ac:dyDescent="0.2">
      <c r="A219" t="s">
        <v>32</v>
      </c>
      <c r="B219" t="s">
        <v>191</v>
      </c>
      <c r="C219" t="e">
        <f t="shared" si="12"/>
        <v>#REF!</v>
      </c>
      <c r="D219" t="s">
        <v>302</v>
      </c>
      <c r="E219" t="e">
        <f>INDEX(Bandwidth!#REF!,MATCH($A219,Bandwidth!#REF!,0),MATCH('CompilationCalcs - Bandwidth'!$D219,Bandwidth!#REF!,0))</f>
        <v>#REF!</v>
      </c>
    </row>
    <row r="220" spans="1:5" x14ac:dyDescent="0.2">
      <c r="A220" t="s">
        <v>32</v>
      </c>
      <c r="B220" t="s">
        <v>191</v>
      </c>
      <c r="C220" t="e">
        <f t="shared" si="12"/>
        <v>#REF!</v>
      </c>
      <c r="D220" t="s">
        <v>220</v>
      </c>
      <c r="E220" t="e">
        <f>INDEX(Bandwidth!#REF!,MATCH($A220,Bandwidth!#REF!,0),MATCH('CompilationCalcs - Bandwidth'!$D220,Bandwidth!#REF!,0))</f>
        <v>#REF!</v>
      </c>
    </row>
    <row r="221" spans="1:5" x14ac:dyDescent="0.2">
      <c r="A221" t="s">
        <v>32</v>
      </c>
      <c r="B221" t="s">
        <v>191</v>
      </c>
      <c r="C221" t="e">
        <f t="shared" si="12"/>
        <v>#REF!</v>
      </c>
      <c r="D221" t="s">
        <v>221</v>
      </c>
      <c r="E221" t="e">
        <f>INDEX(Bandwidth!#REF!,MATCH($A221,Bandwidth!#REF!,0),MATCH('CompilationCalcs - Bandwidth'!$D221,Bandwidth!#REF!,0))</f>
        <v>#REF!</v>
      </c>
    </row>
    <row r="222" spans="1:5" x14ac:dyDescent="0.2">
      <c r="A222" t="s">
        <v>32</v>
      </c>
      <c r="B222" t="s">
        <v>191</v>
      </c>
      <c r="C222" t="e">
        <f t="shared" si="12"/>
        <v>#REF!</v>
      </c>
      <c r="D222" t="s">
        <v>222</v>
      </c>
      <c r="E222" t="e">
        <f>INDEX(Bandwidth!#REF!,MATCH($A222,Bandwidth!#REF!,0),MATCH('CompilationCalcs - Bandwidth'!$D222,Bandwidth!#REF!,0))</f>
        <v>#REF!</v>
      </c>
    </row>
    <row r="223" spans="1:5" x14ac:dyDescent="0.2">
      <c r="A223" t="s">
        <v>32</v>
      </c>
      <c r="B223" t="s">
        <v>191</v>
      </c>
      <c r="C223" t="e">
        <f t="shared" si="12"/>
        <v>#REF!</v>
      </c>
      <c r="D223" t="s">
        <v>223</v>
      </c>
      <c r="E223" t="e">
        <f>INDEX(Bandwidth!#REF!,MATCH($A223,Bandwidth!#REF!,0),MATCH('CompilationCalcs - Bandwidth'!$D223,Bandwidth!#REF!,0))</f>
        <v>#REF!</v>
      </c>
    </row>
    <row r="224" spans="1:5" x14ac:dyDescent="0.2">
      <c r="A224" t="s">
        <v>32</v>
      </c>
      <c r="B224" t="s">
        <v>191</v>
      </c>
      <c r="C224" t="e">
        <f t="shared" si="12"/>
        <v>#REF!</v>
      </c>
      <c r="D224" t="s">
        <v>224</v>
      </c>
      <c r="E224" t="e">
        <f>INDEX(Bandwidth!#REF!,MATCH($A224,Bandwidth!#REF!,0),MATCH('CompilationCalcs - Bandwidth'!$D224,Bandwidth!#REF!,0))</f>
        <v>#REF!</v>
      </c>
    </row>
    <row r="225" spans="1:5" x14ac:dyDescent="0.2">
      <c r="A225" t="s">
        <v>32</v>
      </c>
      <c r="B225" t="s">
        <v>191</v>
      </c>
      <c r="C225" t="e">
        <f t="shared" si="12"/>
        <v>#REF!</v>
      </c>
      <c r="D225" t="s">
        <v>225</v>
      </c>
      <c r="E225" t="e">
        <f>INDEX(Bandwidth!#REF!,MATCH($A225,Bandwidth!#REF!,0),MATCH('CompilationCalcs - Bandwidth'!$D225,Bandwidth!#REF!,0))</f>
        <v>#REF!</v>
      </c>
    </row>
    <row r="226" spans="1:5" x14ac:dyDescent="0.2">
      <c r="A226" t="s">
        <v>32</v>
      </c>
      <c r="B226" t="s">
        <v>191</v>
      </c>
      <c r="C226" t="e">
        <f t="shared" si="12"/>
        <v>#REF!</v>
      </c>
      <c r="D226" t="s">
        <v>226</v>
      </c>
      <c r="E226" t="e">
        <f>INDEX(Bandwidth!#REF!,MATCH($A226,Bandwidth!#REF!,0),MATCH('CompilationCalcs - Bandwidth'!$D226,Bandwidth!#REF!,0))</f>
        <v>#REF!</v>
      </c>
    </row>
    <row r="227" spans="1:5" x14ac:dyDescent="0.2">
      <c r="A227" t="s">
        <v>32</v>
      </c>
      <c r="B227" t="s">
        <v>191</v>
      </c>
      <c r="C227" t="e">
        <f t="shared" si="12"/>
        <v>#REF!</v>
      </c>
      <c r="D227" t="s">
        <v>279</v>
      </c>
      <c r="E227" t="e">
        <f>INDEX(Bandwidth!#REF!,MATCH($A227,Bandwidth!#REF!,0),MATCH('CompilationCalcs - Bandwidth'!$D227,Bandwidth!#REF!,0))</f>
        <v>#REF!</v>
      </c>
    </row>
    <row r="228" spans="1:5" x14ac:dyDescent="0.2">
      <c r="A228" t="s">
        <v>105</v>
      </c>
      <c r="B228" t="s">
        <v>191</v>
      </c>
      <c r="C228" t="e">
        <f t="shared" ref="C228:C243" si="13">E228</f>
        <v>#REF!</v>
      </c>
      <c r="D228" t="s">
        <v>213</v>
      </c>
      <c r="E228" t="e">
        <f>INDEX(Bandwidth!#REF!,MATCH($A228,Bandwidth!#REF!,0),MATCH('CompilationCalcs - Bandwidth'!$D228,Bandwidth!#REF!,0))</f>
        <v>#REF!</v>
      </c>
    </row>
    <row r="229" spans="1:5" x14ac:dyDescent="0.2">
      <c r="A229" t="s">
        <v>105</v>
      </c>
      <c r="B229" t="s">
        <v>191</v>
      </c>
      <c r="C229" t="e">
        <f t="shared" si="13"/>
        <v>#REF!</v>
      </c>
      <c r="D229" t="s">
        <v>214</v>
      </c>
      <c r="E229" t="e">
        <f>INDEX(Bandwidth!#REF!,MATCH($A229,Bandwidth!#REF!,0),MATCH('CompilationCalcs - Bandwidth'!$D229,Bandwidth!#REF!,0))</f>
        <v>#REF!</v>
      </c>
    </row>
    <row r="230" spans="1:5" x14ac:dyDescent="0.2">
      <c r="A230" t="s">
        <v>105</v>
      </c>
      <c r="B230" t="s">
        <v>191</v>
      </c>
      <c r="C230" t="e">
        <f t="shared" si="13"/>
        <v>#REF!</v>
      </c>
      <c r="D230" t="s">
        <v>215</v>
      </c>
      <c r="E230" t="e">
        <f>INDEX(Bandwidth!#REF!,MATCH($A230,Bandwidth!#REF!,0),MATCH('CompilationCalcs - Bandwidth'!$D230,Bandwidth!#REF!,0))</f>
        <v>#REF!</v>
      </c>
    </row>
    <row r="231" spans="1:5" x14ac:dyDescent="0.2">
      <c r="A231" t="s">
        <v>105</v>
      </c>
      <c r="B231" t="s">
        <v>191</v>
      </c>
      <c r="C231" t="e">
        <f t="shared" si="13"/>
        <v>#REF!</v>
      </c>
      <c r="D231" t="s">
        <v>216</v>
      </c>
      <c r="E231" t="e">
        <f>INDEX(Bandwidth!#REF!,MATCH($A231,Bandwidth!#REF!,0),MATCH('CompilationCalcs - Bandwidth'!$D231,Bandwidth!#REF!,0))</f>
        <v>#REF!</v>
      </c>
    </row>
    <row r="232" spans="1:5" x14ac:dyDescent="0.2">
      <c r="A232" t="s">
        <v>105</v>
      </c>
      <c r="B232" t="s">
        <v>191</v>
      </c>
      <c r="C232" t="e">
        <f t="shared" si="13"/>
        <v>#REF!</v>
      </c>
      <c r="D232" t="s">
        <v>217</v>
      </c>
      <c r="E232" t="e">
        <f>INDEX(Bandwidth!#REF!,MATCH($A232,Bandwidth!#REF!,0),MATCH('CompilationCalcs - Bandwidth'!$D232,Bandwidth!#REF!,0))</f>
        <v>#REF!</v>
      </c>
    </row>
    <row r="233" spans="1:5" x14ac:dyDescent="0.2">
      <c r="A233" t="s">
        <v>105</v>
      </c>
      <c r="B233" t="s">
        <v>191</v>
      </c>
      <c r="C233" t="e">
        <f t="shared" si="13"/>
        <v>#REF!</v>
      </c>
      <c r="D233" t="s">
        <v>218</v>
      </c>
      <c r="E233" t="e">
        <f>INDEX(Bandwidth!#REF!,MATCH($A233,Bandwidth!#REF!,0),MATCH('CompilationCalcs - Bandwidth'!$D233,Bandwidth!#REF!,0))</f>
        <v>#REF!</v>
      </c>
    </row>
    <row r="234" spans="1:5" x14ac:dyDescent="0.2">
      <c r="A234" t="s">
        <v>105</v>
      </c>
      <c r="B234" t="s">
        <v>191</v>
      </c>
      <c r="C234" t="e">
        <f t="shared" si="13"/>
        <v>#REF!</v>
      </c>
      <c r="D234" t="s">
        <v>219</v>
      </c>
      <c r="E234" t="e">
        <f>INDEX(Bandwidth!#REF!,MATCH($A234,Bandwidth!#REF!,0),MATCH('CompilationCalcs - Bandwidth'!$D234,Bandwidth!#REF!,0))</f>
        <v>#REF!</v>
      </c>
    </row>
    <row r="235" spans="1:5" x14ac:dyDescent="0.2">
      <c r="A235" t="s">
        <v>105</v>
      </c>
      <c r="B235" t="s">
        <v>191</v>
      </c>
      <c r="C235" t="e">
        <f t="shared" si="13"/>
        <v>#REF!</v>
      </c>
      <c r="D235" t="s">
        <v>302</v>
      </c>
      <c r="E235" t="e">
        <f>INDEX(Bandwidth!#REF!,MATCH($A235,Bandwidth!#REF!,0),MATCH('CompilationCalcs - Bandwidth'!$D235,Bandwidth!#REF!,0))</f>
        <v>#REF!</v>
      </c>
    </row>
    <row r="236" spans="1:5" x14ac:dyDescent="0.2">
      <c r="A236" t="s">
        <v>105</v>
      </c>
      <c r="B236" t="s">
        <v>191</v>
      </c>
      <c r="C236" t="e">
        <f t="shared" si="13"/>
        <v>#REF!</v>
      </c>
      <c r="D236" t="s">
        <v>220</v>
      </c>
      <c r="E236" t="e">
        <f>INDEX(Bandwidth!#REF!,MATCH($A236,Bandwidth!#REF!,0),MATCH('CompilationCalcs - Bandwidth'!$D236,Bandwidth!#REF!,0))</f>
        <v>#REF!</v>
      </c>
    </row>
    <row r="237" spans="1:5" x14ac:dyDescent="0.2">
      <c r="A237" t="s">
        <v>105</v>
      </c>
      <c r="B237" t="s">
        <v>191</v>
      </c>
      <c r="C237" t="e">
        <f t="shared" si="13"/>
        <v>#REF!</v>
      </c>
      <c r="D237" t="s">
        <v>221</v>
      </c>
      <c r="E237" t="e">
        <f>INDEX(Bandwidth!#REF!,MATCH($A237,Bandwidth!#REF!,0),MATCH('CompilationCalcs - Bandwidth'!$D237,Bandwidth!#REF!,0))</f>
        <v>#REF!</v>
      </c>
    </row>
    <row r="238" spans="1:5" x14ac:dyDescent="0.2">
      <c r="A238" t="s">
        <v>105</v>
      </c>
      <c r="B238" t="s">
        <v>191</v>
      </c>
      <c r="C238" t="e">
        <f t="shared" si="13"/>
        <v>#REF!</v>
      </c>
      <c r="D238" t="s">
        <v>222</v>
      </c>
      <c r="E238" t="e">
        <f>INDEX(Bandwidth!#REF!,MATCH($A238,Bandwidth!#REF!,0),MATCH('CompilationCalcs - Bandwidth'!$D238,Bandwidth!#REF!,0))</f>
        <v>#REF!</v>
      </c>
    </row>
    <row r="239" spans="1:5" x14ac:dyDescent="0.2">
      <c r="A239" t="s">
        <v>105</v>
      </c>
      <c r="B239" t="s">
        <v>191</v>
      </c>
      <c r="C239" t="e">
        <f t="shared" si="13"/>
        <v>#REF!</v>
      </c>
      <c r="D239" t="s">
        <v>223</v>
      </c>
      <c r="E239" t="e">
        <f>INDEX(Bandwidth!#REF!,MATCH($A239,Bandwidth!#REF!,0),MATCH('CompilationCalcs - Bandwidth'!$D239,Bandwidth!#REF!,0))</f>
        <v>#REF!</v>
      </c>
    </row>
    <row r="240" spans="1:5" x14ac:dyDescent="0.2">
      <c r="A240" t="s">
        <v>105</v>
      </c>
      <c r="B240" t="s">
        <v>191</v>
      </c>
      <c r="C240" t="e">
        <f t="shared" si="13"/>
        <v>#REF!</v>
      </c>
      <c r="D240" t="s">
        <v>224</v>
      </c>
      <c r="E240" t="e">
        <f>INDEX(Bandwidth!#REF!,MATCH($A240,Bandwidth!#REF!,0),MATCH('CompilationCalcs - Bandwidth'!$D240,Bandwidth!#REF!,0))</f>
        <v>#REF!</v>
      </c>
    </row>
    <row r="241" spans="1:5" x14ac:dyDescent="0.2">
      <c r="A241" t="s">
        <v>105</v>
      </c>
      <c r="B241" t="s">
        <v>191</v>
      </c>
      <c r="C241" t="e">
        <f t="shared" si="13"/>
        <v>#REF!</v>
      </c>
      <c r="D241" t="s">
        <v>225</v>
      </c>
      <c r="E241" t="e">
        <f>INDEX(Bandwidth!#REF!,MATCH($A241,Bandwidth!#REF!,0),MATCH('CompilationCalcs - Bandwidth'!$D241,Bandwidth!#REF!,0))</f>
        <v>#REF!</v>
      </c>
    </row>
    <row r="242" spans="1:5" x14ac:dyDescent="0.2">
      <c r="A242" t="s">
        <v>105</v>
      </c>
      <c r="B242" t="s">
        <v>191</v>
      </c>
      <c r="C242" t="e">
        <f t="shared" si="13"/>
        <v>#REF!</v>
      </c>
      <c r="D242" t="s">
        <v>226</v>
      </c>
      <c r="E242" t="e">
        <f>INDEX(Bandwidth!#REF!,MATCH($A242,Bandwidth!#REF!,0),MATCH('CompilationCalcs - Bandwidth'!$D242,Bandwidth!#REF!,0))</f>
        <v>#REF!</v>
      </c>
    </row>
    <row r="243" spans="1:5" x14ac:dyDescent="0.2">
      <c r="A243" t="s">
        <v>105</v>
      </c>
      <c r="B243" t="s">
        <v>191</v>
      </c>
      <c r="C243" t="e">
        <f t="shared" si="13"/>
        <v>#REF!</v>
      </c>
      <c r="D243" t="s">
        <v>279</v>
      </c>
      <c r="E243" t="e">
        <f>INDEX(Bandwidth!#REF!,MATCH($A243,Bandwidth!#REF!,0),MATCH('CompilationCalcs - Bandwidth'!$D243,Bandwidth!#REF!,0))</f>
        <v>#REF!</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93FB69-0A18-6642-AB76-7D7D02CF634E}">
  <dimension ref="A1:AI1159"/>
  <sheetViews>
    <sheetView topLeftCell="P746" zoomScale="120" zoomScaleNormal="120" workbookViewId="0">
      <selection activeCell="AA732" sqref="AA732:AA749"/>
    </sheetView>
  </sheetViews>
  <sheetFormatPr baseColWidth="10" defaultRowHeight="16" x14ac:dyDescent="0.2"/>
  <cols>
    <col min="1" max="1" width="20.1640625" customWidth="1"/>
    <col min="2" max="2" width="18.1640625" customWidth="1"/>
    <col min="13" max="13" width="24.5" customWidth="1"/>
    <col min="14" max="14" width="21.6640625" customWidth="1"/>
    <col min="17" max="17" width="14.1640625" customWidth="1"/>
    <col min="18" max="18" width="15.6640625" customWidth="1"/>
    <col min="19" max="19" width="17.83203125" customWidth="1"/>
    <col min="20" max="20" width="20.6640625" customWidth="1"/>
    <col min="21" max="21" width="17.33203125" customWidth="1"/>
    <col min="25" max="25" width="14.33203125" customWidth="1"/>
    <col min="26" max="26" width="17.33203125" customWidth="1"/>
    <col min="28" max="28" width="16.5" customWidth="1"/>
  </cols>
  <sheetData>
    <row r="1" spans="1:5" ht="21" x14ac:dyDescent="0.25">
      <c r="A1" s="19" t="s">
        <v>112</v>
      </c>
    </row>
    <row r="2" spans="1:5" s="171" customFormat="1" ht="19" x14ac:dyDescent="0.25">
      <c r="A2" s="12"/>
    </row>
    <row r="3" spans="1:5" s="171" customFormat="1" ht="19" x14ac:dyDescent="0.25">
      <c r="A3" s="12" t="s">
        <v>114</v>
      </c>
    </row>
    <row r="4" spans="1:5" x14ac:dyDescent="0.2">
      <c r="C4" s="172"/>
      <c r="D4" s="173"/>
    </row>
    <row r="5" spans="1:5" ht="34" x14ac:dyDescent="0.2">
      <c r="A5" s="29" t="s">
        <v>113</v>
      </c>
      <c r="B5" s="29" t="s">
        <v>83</v>
      </c>
      <c r="C5" s="174" t="s">
        <v>115</v>
      </c>
      <c r="D5" s="29" t="s">
        <v>116</v>
      </c>
      <c r="E5" s="28"/>
    </row>
    <row r="6" spans="1:5" x14ac:dyDescent="0.2">
      <c r="A6" t="str">
        <f>PlasticsUse!A27</f>
        <v>Polyurethane</v>
      </c>
      <c r="B6" t="str">
        <f>PlasticsUse!A7</f>
        <v>Building and Construction</v>
      </c>
      <c r="C6" t="s">
        <v>14</v>
      </c>
      <c r="D6" t="s">
        <v>27</v>
      </c>
    </row>
    <row r="7" spans="1:5" x14ac:dyDescent="0.2">
      <c r="A7" t="str">
        <f>PlasticsUse!A29</f>
        <v>LDPE</v>
      </c>
      <c r="B7" t="str">
        <f>PlasticsUse!A8</f>
        <v>Furniture and Furnishings</v>
      </c>
      <c r="C7" t="s">
        <v>15</v>
      </c>
      <c r="D7" t="s">
        <v>4</v>
      </c>
    </row>
    <row r="8" spans="1:5" x14ac:dyDescent="0.2">
      <c r="A8" t="str">
        <f>PlasticsUse!A30</f>
        <v>LLDPE</v>
      </c>
      <c r="B8" t="str">
        <f>PlasticsUse!A9</f>
        <v>Transportation</v>
      </c>
      <c r="C8" s="172"/>
      <c r="D8" t="s">
        <v>5</v>
      </c>
    </row>
    <row r="9" spans="1:5" x14ac:dyDescent="0.2">
      <c r="A9" t="str">
        <f>PlasticsUse!A31</f>
        <v>HDPE</v>
      </c>
      <c r="B9" t="str">
        <f>PlasticsUse!A10</f>
        <v>Industrial/Machinery</v>
      </c>
      <c r="C9" s="172"/>
      <c r="D9" t="s">
        <v>6</v>
      </c>
    </row>
    <row r="10" spans="1:5" x14ac:dyDescent="0.2">
      <c r="A10" t="str">
        <f>PlasticsUse!A32</f>
        <v>PP</v>
      </c>
      <c r="B10" t="str">
        <f>PlasticsUse!A11</f>
        <v>Packaging</v>
      </c>
      <c r="C10" s="172"/>
    </row>
    <row r="11" spans="1:5" x14ac:dyDescent="0.2">
      <c r="A11" t="str">
        <f>PlasticsUse!A33</f>
        <v>PS</v>
      </c>
      <c r="B11" t="str">
        <f>PlasticsUse!A13</f>
        <v>Electrical/Electronic</v>
      </c>
      <c r="C11" s="172"/>
    </row>
    <row r="12" spans="1:5" x14ac:dyDescent="0.2">
      <c r="A12" t="str">
        <f>PlasticsUse!A34</f>
        <v>EPS</v>
      </c>
      <c r="B12" t="str">
        <f>PlasticsUse!A14</f>
        <v>Consumer and Institutional</v>
      </c>
      <c r="C12" s="172"/>
    </row>
    <row r="13" spans="1:5" x14ac:dyDescent="0.2">
      <c r="A13" t="str">
        <f>PlasticsUse!A35</f>
        <v>PVC</v>
      </c>
      <c r="B13" t="str">
        <f>PlasticsUse!A15</f>
        <v>Adhesives/Inks/Coatings</v>
      </c>
      <c r="C13" s="172"/>
    </row>
    <row r="14" spans="1:5" x14ac:dyDescent="0.2">
      <c r="A14" t="str">
        <f>PlasticsUse!A36</f>
        <v>PET</v>
      </c>
      <c r="B14" t="str">
        <f>PlasticsUse!A16</f>
        <v>Textiles, Fibers and Apparel</v>
      </c>
      <c r="C14" s="172"/>
    </row>
    <row r="15" spans="1:5" x14ac:dyDescent="0.2">
      <c r="A15" t="str">
        <f>PlasticsUse!A38</f>
        <v>Polyester fiber</v>
      </c>
      <c r="B15" t="str">
        <f>PlasticsUse!A17</f>
        <v>Other End Use Markets</v>
      </c>
      <c r="C15" s="172"/>
    </row>
    <row r="16" spans="1:5" x14ac:dyDescent="0.2">
      <c r="A16" t="str">
        <f>PlasticsUse!A37</f>
        <v>ABS</v>
      </c>
      <c r="B16" t="str">
        <f>PlasticsUse!A18</f>
        <v>Exports</v>
      </c>
      <c r="C16" s="172"/>
    </row>
    <row r="17" spans="1:34" x14ac:dyDescent="0.2">
      <c r="A17" t="str">
        <f>PlasticsUse!A40</f>
        <v>Polycarbonate</v>
      </c>
      <c r="C17" s="172"/>
    </row>
    <row r="18" spans="1:34" x14ac:dyDescent="0.2">
      <c r="A18" t="str">
        <f>PlasticsUse!A41</f>
        <v>Styrene butadiene rubber</v>
      </c>
      <c r="C18" s="172"/>
    </row>
    <row r="19" spans="1:34" x14ac:dyDescent="0.2">
      <c r="C19" s="172"/>
    </row>
    <row r="20" spans="1:34" x14ac:dyDescent="0.2">
      <c r="A20" s="2" t="s">
        <v>131</v>
      </c>
      <c r="C20" s="172"/>
      <c r="G20" s="2" t="s">
        <v>194</v>
      </c>
      <c r="M20" s="2" t="s">
        <v>195</v>
      </c>
      <c r="S20" s="2" t="s">
        <v>895</v>
      </c>
      <c r="Y20" s="2" t="s">
        <v>931</v>
      </c>
      <c r="AE20" s="2" t="s">
        <v>932</v>
      </c>
    </row>
    <row r="21" spans="1:34" x14ac:dyDescent="0.2">
      <c r="C21" s="172"/>
      <c r="S21" t="s">
        <v>896</v>
      </c>
    </row>
    <row r="22" spans="1:34" x14ac:dyDescent="0.2">
      <c r="A22" s="175" t="s">
        <v>20</v>
      </c>
      <c r="B22" s="175" t="s">
        <v>21</v>
      </c>
      <c r="C22" s="175" t="s">
        <v>22</v>
      </c>
      <c r="G22" s="2" t="s">
        <v>132</v>
      </c>
      <c r="H22" s="2" t="s">
        <v>133</v>
      </c>
      <c r="I22" s="2" t="s">
        <v>134</v>
      </c>
      <c r="J22" s="2" t="s">
        <v>135</v>
      </c>
      <c r="K22" s="2"/>
      <c r="M22" s="2" t="s">
        <v>132</v>
      </c>
      <c r="N22" s="2" t="s">
        <v>133</v>
      </c>
      <c r="O22" s="2" t="s">
        <v>134</v>
      </c>
      <c r="P22" s="2" t="s">
        <v>135</v>
      </c>
      <c r="Q22" s="2"/>
      <c r="S22" s="2" t="s">
        <v>132</v>
      </c>
      <c r="T22" s="2" t="s">
        <v>133</v>
      </c>
      <c r="U22" s="2" t="s">
        <v>134</v>
      </c>
      <c r="V22" s="2" t="s">
        <v>135</v>
      </c>
      <c r="Y22" s="2" t="s">
        <v>132</v>
      </c>
      <c r="Z22" s="2" t="s">
        <v>133</v>
      </c>
      <c r="AA22" s="2" t="s">
        <v>134</v>
      </c>
      <c r="AB22" s="2" t="s">
        <v>135</v>
      </c>
      <c r="AE22" s="2" t="s">
        <v>132</v>
      </c>
      <c r="AF22" s="2" t="s">
        <v>133</v>
      </c>
      <c r="AG22" s="2" t="s">
        <v>134</v>
      </c>
      <c r="AH22" s="2" t="s">
        <v>135</v>
      </c>
    </row>
    <row r="23" spans="1:34" x14ac:dyDescent="0.2">
      <c r="A23" t="s">
        <v>0</v>
      </c>
      <c r="B23" t="s">
        <v>38</v>
      </c>
      <c r="C23">
        <f>'CompilationCalcs - EPA EOL'!C4</f>
        <v>0</v>
      </c>
      <c r="G23" t="str">
        <f>A23</f>
        <v>PDK</v>
      </c>
      <c r="H23" t="str">
        <f t="shared" ref="H23:I23" si="0">B23</f>
        <v>Building and Construction</v>
      </c>
      <c r="I23">
        <f t="shared" si="0"/>
        <v>0</v>
      </c>
      <c r="J23" t="str">
        <f>G23</f>
        <v>PDK</v>
      </c>
      <c r="M23" t="s">
        <v>891</v>
      </c>
      <c r="N23" t="s">
        <v>38</v>
      </c>
      <c r="O23" s="11">
        <f>_xlfn.IFNA(INDEX('Imports - Products'!$B$24:$G$40,MATCH(dataforsankey!$P23,'Imports - Products'!$A$24:$A$40,0),MATCH(dataforsankey!$N23,'Imports - Products'!$B$23:$G$23,0)),0)*10^-6</f>
        <v>0</v>
      </c>
      <c r="P23" t="s">
        <v>82</v>
      </c>
      <c r="S23" t="s">
        <v>82</v>
      </c>
      <c r="T23" t="s">
        <v>38</v>
      </c>
      <c r="U23" s="11">
        <f t="shared" ref="U23:U86" si="1">SUMIFS($O$23:$O$935,$M$23:$M$935,S23,$N$23:$N$935,T23,$P$23:$P$935,V23)</f>
        <v>2.26796</v>
      </c>
      <c r="V23" t="s">
        <v>82</v>
      </c>
      <c r="Y23" t="s">
        <v>82</v>
      </c>
      <c r="Z23" t="s">
        <v>38</v>
      </c>
      <c r="AA23" s="11">
        <f t="shared" ref="AA23:AA54" si="2">SUMIFS($O$23:$O$953,$M$23:$M$953,Y23,$N$23:$N$953,Z23,$P$23:$P$953,AB23)</f>
        <v>2.26796</v>
      </c>
      <c r="AB23" t="s">
        <v>82</v>
      </c>
      <c r="AE23" t="s">
        <v>82</v>
      </c>
      <c r="AF23" t="s">
        <v>38</v>
      </c>
      <c r="AG23" s="11">
        <f t="shared" ref="AG23:AG54" si="3">SUMIFS($O$23:$O$953,$M$23:$M$953,AE23,$N$23:$N$953,AF23,$P$23:$P$953,AH23)</f>
        <v>2.26796</v>
      </c>
      <c r="AH23" t="s">
        <v>82</v>
      </c>
    </row>
    <row r="24" spans="1:34" x14ac:dyDescent="0.2">
      <c r="A24" t="s">
        <v>0</v>
      </c>
      <c r="B24" t="s">
        <v>99</v>
      </c>
      <c r="C24">
        <f>'CompilationCalcs - EPA EOL'!C5</f>
        <v>0</v>
      </c>
      <c r="G24" t="str">
        <f t="shared" ref="G24:G87" si="4">A24</f>
        <v>PDK</v>
      </c>
      <c r="H24" t="str">
        <f t="shared" ref="H24:H87" si="5">B24</f>
        <v>Furniture and Furnishings</v>
      </c>
      <c r="I24">
        <f t="shared" ref="I24:I87" si="6">C24</f>
        <v>0</v>
      </c>
      <c r="J24" t="str">
        <f t="shared" ref="J24:J87" si="7">G24</f>
        <v>PDK</v>
      </c>
      <c r="M24" t="s">
        <v>891</v>
      </c>
      <c r="N24" t="s">
        <v>99</v>
      </c>
      <c r="O24" s="11">
        <f>_xlfn.IFNA(INDEX('Imports - Products'!$B$24:$G$40,MATCH(dataforsankey!$P24,'Imports - Products'!$A$24:$A$40,0),MATCH(dataforsankey!$N24,'Imports - Products'!$B$23:$G$23,0)),0)*10^-6</f>
        <v>0.26817736521480401</v>
      </c>
      <c r="P24" t="s">
        <v>82</v>
      </c>
      <c r="S24" t="s">
        <v>82</v>
      </c>
      <c r="T24" t="s">
        <v>99</v>
      </c>
      <c r="U24" s="11">
        <f t="shared" si="1"/>
        <v>2.26796</v>
      </c>
      <c r="V24" t="s">
        <v>82</v>
      </c>
      <c r="Y24" t="s">
        <v>82</v>
      </c>
      <c r="Z24" t="s">
        <v>99</v>
      </c>
      <c r="AA24" s="11">
        <f t="shared" si="2"/>
        <v>2.26796</v>
      </c>
      <c r="AB24" t="s">
        <v>82</v>
      </c>
      <c r="AE24" t="s">
        <v>82</v>
      </c>
      <c r="AF24" t="s">
        <v>99</v>
      </c>
      <c r="AG24" s="11">
        <f t="shared" si="3"/>
        <v>2.26796</v>
      </c>
      <c r="AH24" t="s">
        <v>82</v>
      </c>
    </row>
    <row r="25" spans="1:34" x14ac:dyDescent="0.2">
      <c r="A25" t="s">
        <v>0</v>
      </c>
      <c r="B25" t="s">
        <v>69</v>
      </c>
      <c r="C25">
        <f>'CompilationCalcs - EPA EOL'!C6</f>
        <v>0</v>
      </c>
      <c r="G25" t="str">
        <f t="shared" si="4"/>
        <v>PDK</v>
      </c>
      <c r="H25" t="str">
        <f t="shared" si="5"/>
        <v>Transportation</v>
      </c>
      <c r="I25">
        <f t="shared" si="6"/>
        <v>0</v>
      </c>
      <c r="J25" t="str">
        <f t="shared" si="7"/>
        <v>PDK</v>
      </c>
      <c r="M25" t="s">
        <v>891</v>
      </c>
      <c r="N25" t="s">
        <v>69</v>
      </c>
      <c r="O25" s="11">
        <f>_xlfn.IFNA(INDEX('Imports - Products'!$B$24:$G$40,MATCH(dataforsankey!$P25,'Imports - Products'!$A$24:$A$40,0),MATCH(dataforsankey!$N25,'Imports - Products'!$B$23:$G$23,0)),0)*10^-6</f>
        <v>0.55717219943835039</v>
      </c>
      <c r="P25" t="s">
        <v>82</v>
      </c>
      <c r="S25" t="s">
        <v>82</v>
      </c>
      <c r="T25" t="s">
        <v>69</v>
      </c>
      <c r="U25" s="11">
        <f t="shared" si="1"/>
        <v>2.26796</v>
      </c>
      <c r="V25" t="s">
        <v>82</v>
      </c>
      <c r="Y25" t="s">
        <v>82</v>
      </c>
      <c r="Z25" t="s">
        <v>69</v>
      </c>
      <c r="AA25" s="11">
        <f t="shared" si="2"/>
        <v>2.26796</v>
      </c>
      <c r="AB25" t="s">
        <v>82</v>
      </c>
      <c r="AE25" t="s">
        <v>82</v>
      </c>
      <c r="AF25" t="s">
        <v>69</v>
      </c>
      <c r="AG25" s="11">
        <f t="shared" si="3"/>
        <v>2.26796</v>
      </c>
      <c r="AH25" t="s">
        <v>82</v>
      </c>
    </row>
    <row r="26" spans="1:34" x14ac:dyDescent="0.2">
      <c r="A26" t="s">
        <v>0</v>
      </c>
      <c r="B26" t="s">
        <v>100</v>
      </c>
      <c r="C26">
        <f>'CompilationCalcs - EPA EOL'!C7</f>
        <v>0</v>
      </c>
      <c r="G26" t="str">
        <f t="shared" si="4"/>
        <v>PDK</v>
      </c>
      <c r="H26" t="str">
        <f t="shared" si="5"/>
        <v>Industrial/Machinery</v>
      </c>
      <c r="I26">
        <f t="shared" si="6"/>
        <v>0</v>
      </c>
      <c r="J26" t="str">
        <f t="shared" si="7"/>
        <v>PDK</v>
      </c>
      <c r="M26" t="s">
        <v>891</v>
      </c>
      <c r="N26" t="s">
        <v>100</v>
      </c>
      <c r="O26" s="11">
        <f>_xlfn.IFNA(INDEX('Imports - Products'!$B$24:$G$40,MATCH(dataforsankey!$P26,'Imports - Products'!$A$24:$A$40,0),MATCH(dataforsankey!$N26,'Imports - Products'!$B$23:$G$23,0)),0)*10^-6</f>
        <v>0</v>
      </c>
      <c r="P26" t="s">
        <v>82</v>
      </c>
      <c r="S26" t="s">
        <v>82</v>
      </c>
      <c r="T26" t="s">
        <v>100</v>
      </c>
      <c r="U26" s="11">
        <f t="shared" si="1"/>
        <v>2.26796</v>
      </c>
      <c r="V26" t="s">
        <v>82</v>
      </c>
      <c r="Y26" t="s">
        <v>82</v>
      </c>
      <c r="Z26" t="s">
        <v>100</v>
      </c>
      <c r="AA26" s="11">
        <f t="shared" si="2"/>
        <v>2.26796</v>
      </c>
      <c r="AB26" t="s">
        <v>82</v>
      </c>
      <c r="AE26" t="s">
        <v>82</v>
      </c>
      <c r="AF26" t="s">
        <v>100</v>
      </c>
      <c r="AG26" s="11">
        <f t="shared" si="3"/>
        <v>2.26796</v>
      </c>
      <c r="AH26" t="s">
        <v>82</v>
      </c>
    </row>
    <row r="27" spans="1:34" x14ac:dyDescent="0.2">
      <c r="A27" t="s">
        <v>0</v>
      </c>
      <c r="B27" t="s">
        <v>39</v>
      </c>
      <c r="C27">
        <f>'CompilationCalcs - EPA EOL'!C8</f>
        <v>0</v>
      </c>
      <c r="G27" t="str">
        <f t="shared" si="4"/>
        <v>PDK</v>
      </c>
      <c r="H27" t="str">
        <f t="shared" si="5"/>
        <v>Packaging</v>
      </c>
      <c r="I27">
        <f t="shared" si="6"/>
        <v>0</v>
      </c>
      <c r="J27" t="str">
        <f t="shared" si="7"/>
        <v>PDK</v>
      </c>
      <c r="M27" t="s">
        <v>891</v>
      </c>
      <c r="N27" t="s">
        <v>39</v>
      </c>
      <c r="O27" s="11">
        <f>_xlfn.IFNA(INDEX('Imports - Products'!$B$24:$G$40,MATCH(dataforsankey!$P27,'Imports - Products'!$A$24:$A$40,0),MATCH(dataforsankey!$N27,'Imports - Products'!$B$23:$G$23,0)),0)*10^-6</f>
        <v>0.43530715382209723</v>
      </c>
      <c r="P27" t="s">
        <v>82</v>
      </c>
      <c r="S27" t="s">
        <v>82</v>
      </c>
      <c r="T27" t="s">
        <v>39</v>
      </c>
      <c r="U27" s="11">
        <f t="shared" si="1"/>
        <v>2.26796</v>
      </c>
      <c r="V27" t="s">
        <v>82</v>
      </c>
      <c r="Y27" t="s">
        <v>82</v>
      </c>
      <c r="Z27" t="s">
        <v>39</v>
      </c>
      <c r="AA27" s="11">
        <f t="shared" si="2"/>
        <v>2.26796</v>
      </c>
      <c r="AB27" t="s">
        <v>82</v>
      </c>
      <c r="AE27" t="s">
        <v>82</v>
      </c>
      <c r="AF27" t="s">
        <v>39</v>
      </c>
      <c r="AG27" s="11">
        <f t="shared" si="3"/>
        <v>2.26796</v>
      </c>
      <c r="AH27" t="s">
        <v>82</v>
      </c>
    </row>
    <row r="28" spans="1:34" x14ac:dyDescent="0.2">
      <c r="A28" t="s">
        <v>0</v>
      </c>
      <c r="B28" t="s">
        <v>68</v>
      </c>
      <c r="C28">
        <f>'CompilationCalcs - EPA EOL'!C9</f>
        <v>0</v>
      </c>
      <c r="G28" t="str">
        <f t="shared" si="4"/>
        <v>PDK</v>
      </c>
      <c r="H28" t="str">
        <f t="shared" si="5"/>
        <v>Electrical/Electronic</v>
      </c>
      <c r="I28">
        <f t="shared" si="6"/>
        <v>0</v>
      </c>
      <c r="J28" t="str">
        <f t="shared" si="7"/>
        <v>PDK</v>
      </c>
      <c r="M28" t="s">
        <v>891</v>
      </c>
      <c r="N28" t="s">
        <v>68</v>
      </c>
      <c r="O28" s="11">
        <f>_xlfn.IFNA(INDEX('Imports - Products'!$B$24:$G$40,MATCH(dataforsankey!$P28,'Imports - Products'!$A$24:$A$40,0),MATCH(dataforsankey!$N28,'Imports - Products'!$B$23:$G$23,0)),0)*10^-6</f>
        <v>0.71151219667875232</v>
      </c>
      <c r="P28" t="s">
        <v>82</v>
      </c>
      <c r="S28" t="s">
        <v>82</v>
      </c>
      <c r="T28" t="s">
        <v>68</v>
      </c>
      <c r="U28" s="11">
        <f t="shared" si="1"/>
        <v>2.26796</v>
      </c>
      <c r="V28" t="s">
        <v>82</v>
      </c>
      <c r="Y28" t="s">
        <v>82</v>
      </c>
      <c r="Z28" t="s">
        <v>68</v>
      </c>
      <c r="AA28" s="11">
        <f t="shared" si="2"/>
        <v>2.26796</v>
      </c>
      <c r="AB28" t="s">
        <v>82</v>
      </c>
      <c r="AE28" t="s">
        <v>82</v>
      </c>
      <c r="AF28" t="s">
        <v>68</v>
      </c>
      <c r="AG28" s="11">
        <f t="shared" si="3"/>
        <v>2.26796</v>
      </c>
      <c r="AH28" t="s">
        <v>82</v>
      </c>
    </row>
    <row r="29" spans="1:34" x14ac:dyDescent="0.2">
      <c r="A29" t="s">
        <v>0</v>
      </c>
      <c r="B29" t="s">
        <v>91</v>
      </c>
      <c r="C29">
        <f>'CompilationCalcs - EPA EOL'!C10</f>
        <v>0</v>
      </c>
      <c r="G29" t="str">
        <f t="shared" si="4"/>
        <v>PDK</v>
      </c>
      <c r="H29" t="str">
        <f t="shared" si="5"/>
        <v>Consumer and Insitutional</v>
      </c>
      <c r="I29">
        <f t="shared" si="6"/>
        <v>0</v>
      </c>
      <c r="J29" t="str">
        <f t="shared" si="7"/>
        <v>PDK</v>
      </c>
      <c r="M29" t="s">
        <v>891</v>
      </c>
      <c r="N29" t="s">
        <v>63</v>
      </c>
      <c r="O29" s="11">
        <f>_xlfn.IFNA(INDEX('Imports - Products'!$B$24:$G$40,MATCH(dataforsankey!$P29,'Imports - Products'!$A$24:$A$40,0),MATCH(dataforsankey!$N29,'Imports - Products'!$B$23:$G$23,0)),0)*10^-6</f>
        <v>0.26696692704760661</v>
      </c>
      <c r="P29" t="s">
        <v>82</v>
      </c>
      <c r="S29" t="s">
        <v>82</v>
      </c>
      <c r="T29" t="s">
        <v>63</v>
      </c>
      <c r="U29" s="11">
        <f t="shared" si="1"/>
        <v>2.26796</v>
      </c>
      <c r="V29" t="s">
        <v>82</v>
      </c>
      <c r="Y29" t="s">
        <v>82</v>
      </c>
      <c r="Z29" t="s">
        <v>63</v>
      </c>
      <c r="AA29" s="11">
        <f t="shared" si="2"/>
        <v>2.26796</v>
      </c>
      <c r="AB29" t="s">
        <v>82</v>
      </c>
      <c r="AE29" t="s">
        <v>82</v>
      </c>
      <c r="AF29" t="s">
        <v>63</v>
      </c>
      <c r="AG29" s="11">
        <f t="shared" si="3"/>
        <v>2.26796</v>
      </c>
      <c r="AH29" t="s">
        <v>82</v>
      </c>
    </row>
    <row r="30" spans="1:34" x14ac:dyDescent="0.2">
      <c r="A30" t="s">
        <v>0</v>
      </c>
      <c r="B30" t="s">
        <v>92</v>
      </c>
      <c r="C30">
        <f>'CompilationCalcs - EPA EOL'!C11</f>
        <v>0</v>
      </c>
      <c r="G30" t="str">
        <f t="shared" si="4"/>
        <v>PDK</v>
      </c>
      <c r="H30" t="str">
        <f t="shared" si="5"/>
        <v>Adhesives/Inks/Coatings</v>
      </c>
      <c r="I30">
        <f t="shared" si="6"/>
        <v>0</v>
      </c>
      <c r="J30" t="str">
        <f t="shared" si="7"/>
        <v>PDK</v>
      </c>
      <c r="M30" t="s">
        <v>891</v>
      </c>
      <c r="N30" t="s">
        <v>92</v>
      </c>
      <c r="O30" s="11">
        <f>_xlfn.IFNA(INDEX('Imports - Products'!$B$24:$G$40,MATCH(dataforsankey!$P30,'Imports - Products'!$A$24:$A$40,0),MATCH(dataforsankey!$N30,'Imports - Products'!$B$23:$G$23,0)),0)*10^-6</f>
        <v>0</v>
      </c>
      <c r="P30" t="s">
        <v>82</v>
      </c>
      <c r="S30" t="s">
        <v>82</v>
      </c>
      <c r="T30" t="s">
        <v>92</v>
      </c>
      <c r="U30" s="11">
        <f t="shared" si="1"/>
        <v>2.26796</v>
      </c>
      <c r="V30" t="s">
        <v>82</v>
      </c>
      <c r="Y30" t="s">
        <v>82</v>
      </c>
      <c r="Z30" t="s">
        <v>92</v>
      </c>
      <c r="AA30" s="11">
        <f t="shared" si="2"/>
        <v>2.26796</v>
      </c>
      <c r="AB30" t="s">
        <v>82</v>
      </c>
      <c r="AE30" t="s">
        <v>82</v>
      </c>
      <c r="AF30" t="s">
        <v>92</v>
      </c>
      <c r="AG30" s="11">
        <f t="shared" si="3"/>
        <v>2.26796</v>
      </c>
      <c r="AH30" t="s">
        <v>82</v>
      </c>
    </row>
    <row r="31" spans="1:34" x14ac:dyDescent="0.2">
      <c r="A31" t="s">
        <v>0</v>
      </c>
      <c r="B31" t="s">
        <v>103</v>
      </c>
      <c r="C31">
        <f>'CompilationCalcs - EPA EOL'!C12</f>
        <v>0</v>
      </c>
      <c r="G31" t="str">
        <f t="shared" si="4"/>
        <v>PDK</v>
      </c>
      <c r="H31" t="str">
        <f t="shared" si="5"/>
        <v>Textiles, Fibers and Apparel</v>
      </c>
      <c r="I31">
        <f t="shared" si="6"/>
        <v>0</v>
      </c>
      <c r="J31" t="str">
        <f t="shared" si="7"/>
        <v>PDK</v>
      </c>
      <c r="M31" t="s">
        <v>891</v>
      </c>
      <c r="N31" t="s">
        <v>103</v>
      </c>
      <c r="O31" s="11">
        <f>_xlfn.IFNA(INDEX('Imports - Products'!$B$24:$G$40,MATCH(dataforsankey!$P31,'Imports - Products'!$A$24:$A$40,0),MATCH(dataforsankey!$N31,'Imports - Products'!$B$23:$G$23,0)),0)*10^-6</f>
        <v>0.36521603508149775</v>
      </c>
      <c r="P31" t="s">
        <v>82</v>
      </c>
      <c r="S31" t="s">
        <v>82</v>
      </c>
      <c r="T31" t="s">
        <v>103</v>
      </c>
      <c r="U31" s="11">
        <f t="shared" si="1"/>
        <v>2.26796</v>
      </c>
      <c r="V31" t="s">
        <v>82</v>
      </c>
      <c r="Y31" t="s">
        <v>82</v>
      </c>
      <c r="Z31" t="s">
        <v>103</v>
      </c>
      <c r="AA31" s="11">
        <f t="shared" si="2"/>
        <v>2.26796</v>
      </c>
      <c r="AB31" t="s">
        <v>82</v>
      </c>
      <c r="AE31" t="s">
        <v>82</v>
      </c>
      <c r="AF31" t="s">
        <v>103</v>
      </c>
      <c r="AG31" s="11">
        <f t="shared" si="3"/>
        <v>2.26796</v>
      </c>
      <c r="AH31" t="s">
        <v>82</v>
      </c>
    </row>
    <row r="32" spans="1:34" x14ac:dyDescent="0.2">
      <c r="A32" t="s">
        <v>0</v>
      </c>
      <c r="B32" t="s">
        <v>86</v>
      </c>
      <c r="C32">
        <f>'CompilationCalcs - EPA EOL'!C13</f>
        <v>1.8181818181818181E-2</v>
      </c>
      <c r="G32" t="str">
        <f t="shared" si="4"/>
        <v>PDK</v>
      </c>
      <c r="H32" t="str">
        <f t="shared" si="5"/>
        <v>Other End Use Markets</v>
      </c>
      <c r="I32">
        <f t="shared" si="6"/>
        <v>1.8181818181818181E-2</v>
      </c>
      <c r="J32" t="str">
        <f t="shared" si="7"/>
        <v>PDK</v>
      </c>
      <c r="M32" t="s">
        <v>891</v>
      </c>
      <c r="N32" t="s">
        <v>86</v>
      </c>
      <c r="O32" s="11">
        <f>_xlfn.IFNA(INDEX('Imports - Products'!$B$24:$G$40,MATCH(dataforsankey!$P32,'Imports - Products'!$A$24:$A$40,0),MATCH(dataforsankey!$N32,'Imports - Products'!$B$23:$G$23,0)),0)*10^-6</f>
        <v>0</v>
      </c>
      <c r="P32" t="s">
        <v>82</v>
      </c>
      <c r="S32" t="s">
        <v>82</v>
      </c>
      <c r="T32" t="s">
        <v>86</v>
      </c>
      <c r="U32" s="11">
        <f t="shared" si="1"/>
        <v>2.26796</v>
      </c>
      <c r="V32" t="s">
        <v>82</v>
      </c>
      <c r="Y32" t="s">
        <v>82</v>
      </c>
      <c r="Z32" t="s">
        <v>86</v>
      </c>
      <c r="AA32" s="11">
        <f t="shared" si="2"/>
        <v>2.26796</v>
      </c>
      <c r="AB32" t="s">
        <v>82</v>
      </c>
      <c r="AE32" t="s">
        <v>82</v>
      </c>
      <c r="AF32" t="s">
        <v>86</v>
      </c>
      <c r="AG32" s="11">
        <f t="shared" si="3"/>
        <v>2.26796</v>
      </c>
      <c r="AH32" t="s">
        <v>82</v>
      </c>
    </row>
    <row r="33" spans="1:34" x14ac:dyDescent="0.2">
      <c r="A33" t="s">
        <v>2</v>
      </c>
      <c r="B33" t="s">
        <v>38</v>
      </c>
      <c r="C33" s="11">
        <f>INDEX(PlasticsUse!$B$94:$L$111,MATCH(dataforsankey!$A33,PlasticsUse!$A$94:$A$108,0),MATCH(dataforsankey!$B33,PlasticsUse!$B$93:$L$93,0))</f>
        <v>0</v>
      </c>
      <c r="G33" t="str">
        <f t="shared" si="4"/>
        <v>PET</v>
      </c>
      <c r="H33" t="str">
        <f t="shared" si="5"/>
        <v>Building and Construction</v>
      </c>
      <c r="I33">
        <f t="shared" si="6"/>
        <v>0</v>
      </c>
      <c r="J33" t="str">
        <f t="shared" si="7"/>
        <v>PET</v>
      </c>
      <c r="M33" t="s">
        <v>891</v>
      </c>
      <c r="N33" t="s">
        <v>18</v>
      </c>
      <c r="O33" s="11">
        <f>_xlfn.IFNA(INDEX('Imports - Products'!$B$24:$G$40,MATCH(dataforsankey!$P33,'Imports - Products'!$A$24:$A$40,0),MATCH(dataforsankey!$N33,'Imports - Products'!$B$23:$G$23,0)),0)*10^-6</f>
        <v>0</v>
      </c>
      <c r="P33" t="s">
        <v>82</v>
      </c>
      <c r="S33" t="s">
        <v>82</v>
      </c>
      <c r="T33" t="s">
        <v>18</v>
      </c>
      <c r="U33" s="11">
        <f t="shared" si="1"/>
        <v>2.26796</v>
      </c>
      <c r="V33" t="s">
        <v>82</v>
      </c>
      <c r="Y33" t="s">
        <v>82</v>
      </c>
      <c r="Z33" t="s">
        <v>18</v>
      </c>
      <c r="AA33" s="11">
        <f t="shared" si="2"/>
        <v>2.26796</v>
      </c>
      <c r="AB33" t="s">
        <v>82</v>
      </c>
      <c r="AE33" t="s">
        <v>82</v>
      </c>
      <c r="AF33" t="s">
        <v>18</v>
      </c>
      <c r="AG33" s="11">
        <f t="shared" si="3"/>
        <v>2.26796</v>
      </c>
      <c r="AH33" t="s">
        <v>82</v>
      </c>
    </row>
    <row r="34" spans="1:34" x14ac:dyDescent="0.2">
      <c r="A34" t="s">
        <v>2</v>
      </c>
      <c r="B34" t="s">
        <v>99</v>
      </c>
      <c r="C34" s="11">
        <f>INDEX(PlasticsUse!$B$94:$L$111,MATCH(dataforsankey!$A34,PlasticsUse!$A$94:$A$108,0),MATCH(dataforsankey!$B34,PlasticsUse!$B$93:$L$93,0))</f>
        <v>0</v>
      </c>
      <c r="G34" t="str">
        <f t="shared" si="4"/>
        <v>PET</v>
      </c>
      <c r="H34" t="str">
        <f t="shared" si="5"/>
        <v>Furniture and Furnishings</v>
      </c>
      <c r="I34">
        <f t="shared" si="6"/>
        <v>0</v>
      </c>
      <c r="J34" t="str">
        <f t="shared" si="7"/>
        <v>PET</v>
      </c>
      <c r="M34" t="s">
        <v>891</v>
      </c>
      <c r="N34" t="s">
        <v>38</v>
      </c>
      <c r="O34" s="11">
        <f>_xlfn.IFNA(INDEX('Imports - Products'!$B$24:$G$40,MATCH(dataforsankey!$P34,'Imports - Products'!$A$24:$A$40,0),MATCH(dataforsankey!$N34,'Imports - Products'!$B$23:$G$23,0)),0)*10^-6</f>
        <v>0</v>
      </c>
      <c r="P34" t="s">
        <v>127</v>
      </c>
      <c r="S34" t="s">
        <v>127</v>
      </c>
      <c r="T34" t="s">
        <v>38</v>
      </c>
      <c r="U34" s="11">
        <f t="shared" si="1"/>
        <v>0</v>
      </c>
      <c r="V34" t="s">
        <v>127</v>
      </c>
      <c r="Y34" t="s">
        <v>127</v>
      </c>
      <c r="Z34" t="s">
        <v>38</v>
      </c>
      <c r="AA34" s="11">
        <f t="shared" si="2"/>
        <v>0</v>
      </c>
      <c r="AB34" t="s">
        <v>127</v>
      </c>
      <c r="AE34" t="s">
        <v>127</v>
      </c>
      <c r="AF34" t="s">
        <v>38</v>
      </c>
      <c r="AG34" s="11">
        <f t="shared" si="3"/>
        <v>0</v>
      </c>
      <c r="AH34" t="s">
        <v>127</v>
      </c>
    </row>
    <row r="35" spans="1:34" x14ac:dyDescent="0.2">
      <c r="A35" t="s">
        <v>2</v>
      </c>
      <c r="B35" t="s">
        <v>69</v>
      </c>
      <c r="C35" s="11">
        <f>INDEX(PlasticsUse!$B$94:$L$111,MATCH(dataforsankey!$A35,PlasticsUse!$A$94:$A$108,0),MATCH(dataforsankey!$B35,PlasticsUse!$B$93:$L$93,0))</f>
        <v>0</v>
      </c>
      <c r="G35" t="str">
        <f t="shared" si="4"/>
        <v>PET</v>
      </c>
      <c r="H35" t="str">
        <f t="shared" si="5"/>
        <v>Transportation</v>
      </c>
      <c r="I35">
        <f t="shared" si="6"/>
        <v>0</v>
      </c>
      <c r="J35" t="str">
        <f t="shared" si="7"/>
        <v>PET</v>
      </c>
      <c r="M35" t="s">
        <v>891</v>
      </c>
      <c r="N35" t="s">
        <v>99</v>
      </c>
      <c r="O35" s="11">
        <f>_xlfn.IFNA(INDEX('Imports - Products'!$B$24:$G$40,MATCH(dataforsankey!$P35,'Imports - Products'!$A$24:$A$40,0),MATCH(dataforsankey!$N35,'Imports - Products'!$B$23:$G$23,0)),0)*10^-6</f>
        <v>0</v>
      </c>
      <c r="P35" t="s">
        <v>127</v>
      </c>
      <c r="S35" t="s">
        <v>127</v>
      </c>
      <c r="T35" t="s">
        <v>99</v>
      </c>
      <c r="U35" s="11">
        <f t="shared" si="1"/>
        <v>0</v>
      </c>
      <c r="V35" t="s">
        <v>127</v>
      </c>
      <c r="Y35" t="s">
        <v>127</v>
      </c>
      <c r="Z35" t="s">
        <v>99</v>
      </c>
      <c r="AA35" s="11">
        <f t="shared" si="2"/>
        <v>0</v>
      </c>
      <c r="AB35" t="s">
        <v>127</v>
      </c>
      <c r="AE35" t="s">
        <v>127</v>
      </c>
      <c r="AF35" t="s">
        <v>99</v>
      </c>
      <c r="AG35" s="11">
        <f t="shared" si="3"/>
        <v>0</v>
      </c>
      <c r="AH35" t="s">
        <v>127</v>
      </c>
    </row>
    <row r="36" spans="1:34" x14ac:dyDescent="0.2">
      <c r="A36" t="s">
        <v>2</v>
      </c>
      <c r="B36" t="s">
        <v>100</v>
      </c>
      <c r="C36" s="11">
        <f>INDEX(PlasticsUse!$B$94:$L$111,MATCH(dataforsankey!$A36,PlasticsUse!$A$94:$A$108,0),MATCH(dataforsankey!$B36,PlasticsUse!$B$93:$L$93,0))</f>
        <v>0</v>
      </c>
      <c r="G36" t="str">
        <f t="shared" si="4"/>
        <v>PET</v>
      </c>
      <c r="H36" t="str">
        <f t="shared" si="5"/>
        <v>Industrial/Machinery</v>
      </c>
      <c r="I36">
        <f t="shared" si="6"/>
        <v>0</v>
      </c>
      <c r="J36" t="str">
        <f t="shared" si="7"/>
        <v>PET</v>
      </c>
      <c r="M36" t="s">
        <v>891</v>
      </c>
      <c r="N36" t="s">
        <v>69</v>
      </c>
      <c r="O36" s="11">
        <f>_xlfn.IFNA(INDEX('Imports - Products'!$B$24:$G$40,MATCH(dataforsankey!$P36,'Imports - Products'!$A$24:$A$40,0),MATCH(dataforsankey!$N36,'Imports - Products'!$B$23:$G$23,0)),0)*10^-6</f>
        <v>0</v>
      </c>
      <c r="P36" t="s">
        <v>127</v>
      </c>
      <c r="S36" t="s">
        <v>127</v>
      </c>
      <c r="T36" t="s">
        <v>69</v>
      </c>
      <c r="U36" s="11">
        <f t="shared" si="1"/>
        <v>0</v>
      </c>
      <c r="V36" t="s">
        <v>127</v>
      </c>
      <c r="Y36" t="s">
        <v>127</v>
      </c>
      <c r="Z36" t="s">
        <v>69</v>
      </c>
      <c r="AA36" s="11">
        <f t="shared" si="2"/>
        <v>0</v>
      </c>
      <c r="AB36" t="s">
        <v>127</v>
      </c>
      <c r="AE36" t="s">
        <v>127</v>
      </c>
      <c r="AF36" t="s">
        <v>69</v>
      </c>
      <c r="AG36" s="11">
        <f t="shared" si="3"/>
        <v>0</v>
      </c>
      <c r="AH36" t="s">
        <v>127</v>
      </c>
    </row>
    <row r="37" spans="1:34" x14ac:dyDescent="0.2">
      <c r="A37" t="s">
        <v>2</v>
      </c>
      <c r="B37" t="s">
        <v>39</v>
      </c>
      <c r="C37" s="11">
        <f>INDEX(PlasticsUse!$B$94:$L$111,MATCH(dataforsankey!$A37,PlasticsUse!$A$94:$A$108,0),MATCH(dataforsankey!$B37,PlasticsUse!$B$93:$L$93,0))</f>
        <v>3.2465749419924261</v>
      </c>
      <c r="G37" t="str">
        <f t="shared" si="4"/>
        <v>PET</v>
      </c>
      <c r="H37" t="str">
        <f t="shared" si="5"/>
        <v>Packaging</v>
      </c>
      <c r="I37">
        <f t="shared" si="6"/>
        <v>3.2465749419924261</v>
      </c>
      <c r="J37" t="str">
        <f t="shared" si="7"/>
        <v>PET</v>
      </c>
      <c r="M37" t="s">
        <v>891</v>
      </c>
      <c r="N37" t="s">
        <v>100</v>
      </c>
      <c r="O37" s="11">
        <f>_xlfn.IFNA(INDEX('Imports - Products'!$B$24:$G$40,MATCH(dataforsankey!$P37,'Imports - Products'!$A$24:$A$40,0),MATCH(dataforsankey!$N37,'Imports - Products'!$B$23:$G$23,0)),0)*10^-6</f>
        <v>0</v>
      </c>
      <c r="P37" t="s">
        <v>127</v>
      </c>
      <c r="S37" t="s">
        <v>127</v>
      </c>
      <c r="T37" t="s">
        <v>100</v>
      </c>
      <c r="U37" s="11">
        <f t="shared" si="1"/>
        <v>0</v>
      </c>
      <c r="V37" t="s">
        <v>127</v>
      </c>
      <c r="Y37" t="s">
        <v>127</v>
      </c>
      <c r="Z37" t="s">
        <v>100</v>
      </c>
      <c r="AA37" s="11">
        <f t="shared" si="2"/>
        <v>0</v>
      </c>
      <c r="AB37" t="s">
        <v>127</v>
      </c>
      <c r="AE37" t="s">
        <v>127</v>
      </c>
      <c r="AF37" t="s">
        <v>100</v>
      </c>
      <c r="AG37" s="11">
        <f t="shared" si="3"/>
        <v>0</v>
      </c>
      <c r="AH37" t="s">
        <v>127</v>
      </c>
    </row>
    <row r="38" spans="1:34" x14ac:dyDescent="0.2">
      <c r="A38" t="s">
        <v>2</v>
      </c>
      <c r="B38" t="s">
        <v>68</v>
      </c>
      <c r="C38" s="11">
        <f>INDEX(PlasticsUse!$B$94:$L$111,MATCH(dataforsankey!$A38,PlasticsUse!$A$94:$A$108,0),MATCH(dataforsankey!$B38,PlasticsUse!$B$93:$L$93,0))</f>
        <v>0</v>
      </c>
      <c r="G38" t="str">
        <f t="shared" si="4"/>
        <v>PET</v>
      </c>
      <c r="H38" t="str">
        <f t="shared" si="5"/>
        <v>Electrical/Electronic</v>
      </c>
      <c r="I38">
        <f t="shared" si="6"/>
        <v>0</v>
      </c>
      <c r="J38" t="str">
        <f t="shared" si="7"/>
        <v>PET</v>
      </c>
      <c r="M38" t="s">
        <v>891</v>
      </c>
      <c r="N38" t="s">
        <v>39</v>
      </c>
      <c r="O38" s="11">
        <f>_xlfn.IFNA(INDEX('Imports - Products'!$B$24:$G$40,MATCH(dataforsankey!$P38,'Imports - Products'!$A$24:$A$40,0),MATCH(dataforsankey!$N38,'Imports - Products'!$B$23:$G$23,0)),0)*10^-6</f>
        <v>0</v>
      </c>
      <c r="P38" t="s">
        <v>127</v>
      </c>
      <c r="S38" t="s">
        <v>127</v>
      </c>
      <c r="T38" t="s">
        <v>39</v>
      </c>
      <c r="U38" s="11">
        <f t="shared" si="1"/>
        <v>0</v>
      </c>
      <c r="V38" t="s">
        <v>127</v>
      </c>
      <c r="Y38" t="s">
        <v>127</v>
      </c>
      <c r="Z38" t="s">
        <v>39</v>
      </c>
      <c r="AA38" s="11">
        <f t="shared" si="2"/>
        <v>0</v>
      </c>
      <c r="AB38" t="s">
        <v>127</v>
      </c>
      <c r="AE38" t="s">
        <v>127</v>
      </c>
      <c r="AF38" t="s">
        <v>39</v>
      </c>
      <c r="AG38" s="11">
        <f t="shared" si="3"/>
        <v>0</v>
      </c>
      <c r="AH38" t="s">
        <v>127</v>
      </c>
    </row>
    <row r="39" spans="1:34" x14ac:dyDescent="0.2">
      <c r="A39" t="s">
        <v>2</v>
      </c>
      <c r="B39" t="s">
        <v>91</v>
      </c>
      <c r="C39" s="11" t="e">
        <f>INDEX(PlasticsUse!$B$94:$L$111,MATCH(dataforsankey!$A39,PlasticsUse!$A$94:$A$108,0),MATCH(dataforsankey!$B39,PlasticsUse!$B$93:$L$93,0))</f>
        <v>#N/A</v>
      </c>
      <c r="G39" t="str">
        <f t="shared" si="4"/>
        <v>PET</v>
      </c>
      <c r="H39" t="str">
        <f t="shared" si="5"/>
        <v>Consumer and Insitutional</v>
      </c>
      <c r="I39" t="e">
        <f t="shared" si="6"/>
        <v>#N/A</v>
      </c>
      <c r="J39" t="str">
        <f t="shared" si="7"/>
        <v>PET</v>
      </c>
      <c r="M39" t="s">
        <v>891</v>
      </c>
      <c r="N39" t="s">
        <v>68</v>
      </c>
      <c r="O39" s="11">
        <f>_xlfn.IFNA(INDEX('Imports - Products'!$B$24:$G$40,MATCH(dataforsankey!$P39,'Imports - Products'!$A$24:$A$40,0),MATCH(dataforsankey!$N39,'Imports - Products'!$B$23:$G$23,0)),0)*10^-6</f>
        <v>0</v>
      </c>
      <c r="P39" t="s">
        <v>127</v>
      </c>
      <c r="S39" t="s">
        <v>127</v>
      </c>
      <c r="T39" t="s">
        <v>68</v>
      </c>
      <c r="U39" s="11">
        <f t="shared" si="1"/>
        <v>0</v>
      </c>
      <c r="V39" t="s">
        <v>127</v>
      </c>
      <c r="Y39" t="s">
        <v>127</v>
      </c>
      <c r="Z39" t="s">
        <v>68</v>
      </c>
      <c r="AA39" s="11">
        <f t="shared" si="2"/>
        <v>0</v>
      </c>
      <c r="AB39" t="s">
        <v>127</v>
      </c>
      <c r="AE39" t="s">
        <v>127</v>
      </c>
      <c r="AF39" t="s">
        <v>68</v>
      </c>
      <c r="AG39" s="11">
        <f t="shared" si="3"/>
        <v>0</v>
      </c>
      <c r="AH39" t="s">
        <v>127</v>
      </c>
    </row>
    <row r="40" spans="1:34" x14ac:dyDescent="0.2">
      <c r="A40" t="s">
        <v>2</v>
      </c>
      <c r="B40" t="s">
        <v>92</v>
      </c>
      <c r="C40" s="11">
        <f>INDEX(PlasticsUse!$B$94:$L$111,MATCH(dataforsankey!$A40,PlasticsUse!$A$94:$A$108,0),MATCH(dataforsankey!$B40,PlasticsUse!$B$93:$L$93,0))</f>
        <v>0</v>
      </c>
      <c r="G40" t="str">
        <f t="shared" si="4"/>
        <v>PET</v>
      </c>
      <c r="H40" t="str">
        <f t="shared" si="5"/>
        <v>Adhesives/Inks/Coatings</v>
      </c>
      <c r="I40">
        <f t="shared" si="6"/>
        <v>0</v>
      </c>
      <c r="J40" t="str">
        <f t="shared" si="7"/>
        <v>PET</v>
      </c>
      <c r="M40" t="s">
        <v>891</v>
      </c>
      <c r="N40" t="s">
        <v>63</v>
      </c>
      <c r="O40" s="11">
        <f>_xlfn.IFNA(INDEX('Imports - Products'!$B$24:$G$40,MATCH(dataforsankey!$P40,'Imports - Products'!$A$24:$A$40,0),MATCH(dataforsankey!$N40,'Imports - Products'!$B$23:$G$23,0)),0)*10^-6</f>
        <v>0</v>
      </c>
      <c r="P40" t="s">
        <v>127</v>
      </c>
      <c r="S40" t="s">
        <v>127</v>
      </c>
      <c r="T40" t="s">
        <v>63</v>
      </c>
      <c r="U40" s="11">
        <f t="shared" si="1"/>
        <v>0</v>
      </c>
      <c r="V40" t="s">
        <v>127</v>
      </c>
      <c r="Y40" t="s">
        <v>127</v>
      </c>
      <c r="Z40" t="s">
        <v>63</v>
      </c>
      <c r="AA40" s="11">
        <f t="shared" si="2"/>
        <v>0</v>
      </c>
      <c r="AB40" t="s">
        <v>127</v>
      </c>
      <c r="AE40" t="s">
        <v>127</v>
      </c>
      <c r="AF40" t="s">
        <v>63</v>
      </c>
      <c r="AG40" s="11">
        <f t="shared" si="3"/>
        <v>0</v>
      </c>
      <c r="AH40" t="s">
        <v>127</v>
      </c>
    </row>
    <row r="41" spans="1:34" x14ac:dyDescent="0.2">
      <c r="A41" t="s">
        <v>2</v>
      </c>
      <c r="B41" t="s">
        <v>103</v>
      </c>
      <c r="C41" s="11">
        <f>INDEX(PlasticsUse!$B$94:$L$111,MATCH(dataforsankey!$A41,PlasticsUse!$A$94:$A$108,0),MATCH(dataforsankey!$B41,PlasticsUse!$B$93:$L$93,0))</f>
        <v>0</v>
      </c>
      <c r="G41" t="str">
        <f t="shared" si="4"/>
        <v>PET</v>
      </c>
      <c r="H41" t="str">
        <f t="shared" si="5"/>
        <v>Textiles, Fibers and Apparel</v>
      </c>
      <c r="I41">
        <f t="shared" si="6"/>
        <v>0</v>
      </c>
      <c r="J41" t="str">
        <f t="shared" si="7"/>
        <v>PET</v>
      </c>
      <c r="M41" t="s">
        <v>891</v>
      </c>
      <c r="N41" t="s">
        <v>92</v>
      </c>
      <c r="O41" s="11">
        <f>_xlfn.IFNA(INDEX('Imports - Products'!$B$24:$G$40,MATCH(dataforsankey!$P41,'Imports - Products'!$A$24:$A$40,0),MATCH(dataforsankey!$N41,'Imports - Products'!$B$23:$G$23,0)),0)*10^-6</f>
        <v>0</v>
      </c>
      <c r="P41" t="s">
        <v>127</v>
      </c>
      <c r="S41" t="s">
        <v>127</v>
      </c>
      <c r="T41" t="s">
        <v>92</v>
      </c>
      <c r="U41" s="11">
        <f t="shared" si="1"/>
        <v>0</v>
      </c>
      <c r="V41" t="s">
        <v>127</v>
      </c>
      <c r="Y41" t="s">
        <v>127</v>
      </c>
      <c r="Z41" t="s">
        <v>92</v>
      </c>
      <c r="AA41" s="11">
        <f t="shared" si="2"/>
        <v>0</v>
      </c>
      <c r="AB41" t="s">
        <v>127</v>
      </c>
      <c r="AE41" t="s">
        <v>127</v>
      </c>
      <c r="AF41" t="s">
        <v>92</v>
      </c>
      <c r="AG41" s="11">
        <f t="shared" si="3"/>
        <v>0</v>
      </c>
      <c r="AH41" t="s">
        <v>127</v>
      </c>
    </row>
    <row r="42" spans="1:34" x14ac:dyDescent="0.2">
      <c r="A42" t="s">
        <v>2</v>
      </c>
      <c r="B42" t="s">
        <v>86</v>
      </c>
      <c r="C42" s="11">
        <f>INDEX(PlasticsUse!$B$94:$L$111,MATCH(dataforsankey!$A42,PlasticsUse!$A$94:$A$108,0),MATCH(dataforsankey!$B42,PlasticsUse!$B$93:$L$93,0))</f>
        <v>0.67706639132960889</v>
      </c>
      <c r="G42" t="str">
        <f t="shared" si="4"/>
        <v>PET</v>
      </c>
      <c r="H42" t="str">
        <f t="shared" si="5"/>
        <v>Other End Use Markets</v>
      </c>
      <c r="I42">
        <f t="shared" si="6"/>
        <v>0.67706639132960889</v>
      </c>
      <c r="J42" t="str">
        <f t="shared" si="7"/>
        <v>PET</v>
      </c>
      <c r="M42" t="s">
        <v>891</v>
      </c>
      <c r="N42" t="s">
        <v>103</v>
      </c>
      <c r="O42" s="11">
        <f>_xlfn.IFNA(INDEX('Imports - Products'!$B$24:$G$40,MATCH(dataforsankey!$P42,'Imports - Products'!$A$24:$A$40,0),MATCH(dataforsankey!$N42,'Imports - Products'!$B$23:$G$23,0)),0)*10^-6</f>
        <v>0</v>
      </c>
      <c r="P42" t="s">
        <v>127</v>
      </c>
      <c r="S42" t="s">
        <v>127</v>
      </c>
      <c r="T42" t="s">
        <v>103</v>
      </c>
      <c r="U42" s="11">
        <f t="shared" si="1"/>
        <v>0</v>
      </c>
      <c r="V42" t="s">
        <v>127</v>
      </c>
      <c r="Y42" t="s">
        <v>127</v>
      </c>
      <c r="Z42" t="s">
        <v>103</v>
      </c>
      <c r="AA42" s="11">
        <f t="shared" si="2"/>
        <v>0</v>
      </c>
      <c r="AB42" t="s">
        <v>127</v>
      </c>
      <c r="AE42" t="s">
        <v>127</v>
      </c>
      <c r="AF42" t="s">
        <v>103</v>
      </c>
      <c r="AG42" s="11">
        <f t="shared" si="3"/>
        <v>0</v>
      </c>
      <c r="AH42" t="s">
        <v>127</v>
      </c>
    </row>
    <row r="43" spans="1:34" x14ac:dyDescent="0.2">
      <c r="A43" t="s">
        <v>2</v>
      </c>
      <c r="B43" t="s">
        <v>18</v>
      </c>
      <c r="C43" s="11">
        <f>INDEX(PlasticsUse!$B$94:$L$111,MATCH(dataforsankey!$A43,PlasticsUse!$A$94:$A$108,0),MATCH(dataforsankey!$B43,PlasticsUse!$B$93:$L$93,0))</f>
        <v>0</v>
      </c>
      <c r="G43" t="str">
        <f t="shared" si="4"/>
        <v>PET</v>
      </c>
      <c r="H43" t="str">
        <f t="shared" si="5"/>
        <v>Exports</v>
      </c>
      <c r="I43">
        <f t="shared" si="6"/>
        <v>0</v>
      </c>
      <c r="J43" t="str">
        <f t="shared" si="7"/>
        <v>PET</v>
      </c>
      <c r="M43" t="s">
        <v>891</v>
      </c>
      <c r="N43" t="s">
        <v>86</v>
      </c>
      <c r="O43" s="11">
        <f>_xlfn.IFNA(INDEX('Imports - Products'!$B$24:$G$40,MATCH(dataforsankey!$P43,'Imports - Products'!$A$24:$A$40,0),MATCH(dataforsankey!$N43,'Imports - Products'!$B$23:$G$23,0)),0)*10^-6</f>
        <v>0</v>
      </c>
      <c r="P43" t="s">
        <v>127</v>
      </c>
      <c r="S43" t="s">
        <v>127</v>
      </c>
      <c r="T43" t="s">
        <v>86</v>
      </c>
      <c r="U43" s="11">
        <f t="shared" si="1"/>
        <v>2.26796</v>
      </c>
      <c r="V43" t="s">
        <v>127</v>
      </c>
      <c r="Y43" t="s">
        <v>127</v>
      </c>
      <c r="Z43" t="s">
        <v>86</v>
      </c>
      <c r="AA43" s="11">
        <f t="shared" si="2"/>
        <v>2.26796</v>
      </c>
      <c r="AB43" t="s">
        <v>127</v>
      </c>
      <c r="AE43" t="s">
        <v>127</v>
      </c>
      <c r="AF43" t="s">
        <v>86</v>
      </c>
      <c r="AG43" s="11">
        <f t="shared" si="3"/>
        <v>2.26796</v>
      </c>
      <c r="AH43" t="s">
        <v>127</v>
      </c>
    </row>
    <row r="44" spans="1:34" x14ac:dyDescent="0.2">
      <c r="A44" t="s">
        <v>1</v>
      </c>
      <c r="B44" t="s">
        <v>38</v>
      </c>
      <c r="C44" s="11">
        <f>INDEX(PlasticsUse!$B$94:$L$111,MATCH(dataforsankey!$A44,PlasticsUse!$A$94:$A$108,0),MATCH(dataforsankey!$B44,PlasticsUse!$B$93:$L$93,0))</f>
        <v>0.29456523123690448</v>
      </c>
      <c r="G44" t="str">
        <f t="shared" si="4"/>
        <v>HDPE</v>
      </c>
      <c r="H44" t="str">
        <f t="shared" si="5"/>
        <v>Building and Construction</v>
      </c>
      <c r="I44">
        <f t="shared" si="6"/>
        <v>0.29456523123690448</v>
      </c>
      <c r="J44" t="str">
        <f t="shared" si="7"/>
        <v>HDPE</v>
      </c>
      <c r="M44" t="s">
        <v>891</v>
      </c>
      <c r="N44" t="s">
        <v>18</v>
      </c>
      <c r="O44" s="11">
        <f>_xlfn.IFNA(INDEX('Imports - Products'!$B$24:$G$40,MATCH(dataforsankey!$P44,'Imports - Products'!$A$24:$A$40,0),MATCH(dataforsankey!$N44,'Imports - Products'!$B$23:$G$23,0)),0)*10^-6</f>
        <v>0</v>
      </c>
      <c r="P44" t="s">
        <v>127</v>
      </c>
      <c r="S44" t="s">
        <v>127</v>
      </c>
      <c r="T44" t="s">
        <v>18</v>
      </c>
      <c r="U44" s="11">
        <f t="shared" si="1"/>
        <v>0</v>
      </c>
      <c r="V44" t="s">
        <v>127</v>
      </c>
      <c r="Y44" t="s">
        <v>127</v>
      </c>
      <c r="Z44" t="s">
        <v>18</v>
      </c>
      <c r="AA44" s="11">
        <f t="shared" si="2"/>
        <v>0</v>
      </c>
      <c r="AB44" t="s">
        <v>127</v>
      </c>
      <c r="AE44" t="s">
        <v>127</v>
      </c>
      <c r="AF44" t="s">
        <v>18</v>
      </c>
      <c r="AG44" s="11">
        <f t="shared" si="3"/>
        <v>0</v>
      </c>
      <c r="AH44" t="s">
        <v>127</v>
      </c>
    </row>
    <row r="45" spans="1:34" x14ac:dyDescent="0.2">
      <c r="A45" t="s">
        <v>1</v>
      </c>
      <c r="B45" t="s">
        <v>99</v>
      </c>
      <c r="C45" s="11">
        <f>INDEX(PlasticsUse!$B$94:$L$111,MATCH(dataforsankey!$A45,PlasticsUse!$A$94:$A$108,0),MATCH(dataforsankey!$B45,PlasticsUse!$B$93:$L$93,0))</f>
        <v>0.32927749019289559</v>
      </c>
      <c r="G45" t="str">
        <f t="shared" si="4"/>
        <v>HDPE</v>
      </c>
      <c r="H45" t="str">
        <f t="shared" si="5"/>
        <v>Furniture and Furnishings</v>
      </c>
      <c r="I45">
        <f t="shared" si="6"/>
        <v>0.32927749019289559</v>
      </c>
      <c r="J45" t="str">
        <f t="shared" si="7"/>
        <v>HDPE</v>
      </c>
      <c r="M45" t="s">
        <v>891</v>
      </c>
      <c r="N45" t="s">
        <v>38</v>
      </c>
      <c r="O45" s="11">
        <f>_xlfn.IFNA(INDEX('Imports - Products'!$B$24:$G$40,MATCH(dataforsankey!$P45,'Imports - Products'!$A$24:$A$40,0),MATCH(dataforsankey!$N45,'Imports - Products'!$B$23:$G$23,0)),0)*10^-6</f>
        <v>0</v>
      </c>
      <c r="P45" t="s">
        <v>8</v>
      </c>
      <c r="S45" t="s">
        <v>8</v>
      </c>
      <c r="T45" t="s">
        <v>38</v>
      </c>
      <c r="U45" s="11">
        <f t="shared" si="1"/>
        <v>0.20617443319212375</v>
      </c>
      <c r="V45" t="s">
        <v>8</v>
      </c>
      <c r="Y45" t="s">
        <v>8</v>
      </c>
      <c r="Z45" t="s">
        <v>38</v>
      </c>
      <c r="AA45" s="11">
        <f t="shared" si="2"/>
        <v>0.20617443319212375</v>
      </c>
      <c r="AB45" t="s">
        <v>8</v>
      </c>
      <c r="AE45" t="s">
        <v>8</v>
      </c>
      <c r="AF45" t="s">
        <v>38</v>
      </c>
      <c r="AG45" s="11">
        <f t="shared" si="3"/>
        <v>0.20617443319212375</v>
      </c>
      <c r="AH45" t="s">
        <v>8</v>
      </c>
    </row>
    <row r="46" spans="1:34" x14ac:dyDescent="0.2">
      <c r="A46" t="s">
        <v>1</v>
      </c>
      <c r="B46" t="s">
        <v>69</v>
      </c>
      <c r="C46" s="11">
        <f>INDEX(PlasticsUse!$B$94:$L$111,MATCH(dataforsankey!$A46,PlasticsUse!$A$94:$A$108,0),MATCH(dataforsankey!$B46,PlasticsUse!$B$93:$L$93,0))</f>
        <v>0.366684314271715</v>
      </c>
      <c r="G46" t="str">
        <f t="shared" si="4"/>
        <v>HDPE</v>
      </c>
      <c r="H46" t="str">
        <f t="shared" si="5"/>
        <v>Transportation</v>
      </c>
      <c r="I46">
        <f t="shared" si="6"/>
        <v>0.366684314271715</v>
      </c>
      <c r="J46" t="str">
        <f t="shared" si="7"/>
        <v>HDPE</v>
      </c>
      <c r="M46" t="s">
        <v>891</v>
      </c>
      <c r="N46" t="s">
        <v>99</v>
      </c>
      <c r="O46" s="11">
        <f>_xlfn.IFNA(INDEX('Imports - Products'!$B$24:$G$40,MATCH(dataforsankey!$P46,'Imports - Products'!$A$24:$A$40,0),MATCH(dataforsankey!$N46,'Imports - Products'!$B$23:$G$23,0)),0)*10^-6</f>
        <v>2.8605911705152989E-2</v>
      </c>
      <c r="P46" t="s">
        <v>8</v>
      </c>
      <c r="S46" t="s">
        <v>8</v>
      </c>
      <c r="T46" t="s">
        <v>99</v>
      </c>
      <c r="U46" s="11">
        <f t="shared" si="1"/>
        <v>0.20617443319212375</v>
      </c>
      <c r="V46" t="s">
        <v>8</v>
      </c>
      <c r="Y46" t="s">
        <v>8</v>
      </c>
      <c r="Z46" t="s">
        <v>99</v>
      </c>
      <c r="AA46" s="11">
        <f t="shared" si="2"/>
        <v>0.20617443319212375</v>
      </c>
      <c r="AB46" t="s">
        <v>8</v>
      </c>
      <c r="AE46" t="s">
        <v>8</v>
      </c>
      <c r="AF46" t="s">
        <v>99</v>
      </c>
      <c r="AG46" s="11">
        <f t="shared" si="3"/>
        <v>0.20617443319212375</v>
      </c>
      <c r="AH46" t="s">
        <v>8</v>
      </c>
    </row>
    <row r="47" spans="1:34" x14ac:dyDescent="0.2">
      <c r="A47" t="s">
        <v>1</v>
      </c>
      <c r="B47" t="s">
        <v>100</v>
      </c>
      <c r="C47" s="11">
        <f>INDEX(PlasticsUse!$B$94:$L$111,MATCH(dataforsankey!$A47,PlasticsUse!$A$94:$A$108,0),MATCH(dataforsankey!$B47,PlasticsUse!$B$93:$L$93,0))</f>
        <v>0.29456523123690448</v>
      </c>
      <c r="G47" t="str">
        <f t="shared" si="4"/>
        <v>HDPE</v>
      </c>
      <c r="H47" t="str">
        <f t="shared" si="5"/>
        <v>Industrial/Machinery</v>
      </c>
      <c r="I47">
        <f t="shared" si="6"/>
        <v>0.29456523123690448</v>
      </c>
      <c r="J47" t="str">
        <f t="shared" si="7"/>
        <v>HDPE</v>
      </c>
      <c r="M47" t="s">
        <v>891</v>
      </c>
      <c r="N47" t="s">
        <v>69</v>
      </c>
      <c r="O47" s="11">
        <f>_xlfn.IFNA(INDEX('Imports - Products'!$B$24:$G$40,MATCH(dataforsankey!$P47,'Imports - Products'!$A$24:$A$40,0),MATCH(dataforsankey!$N47,'Imports - Products'!$B$23:$G$23,0)),0)*10^-6</f>
        <v>5.9432378750283531E-2</v>
      </c>
      <c r="P47" t="s">
        <v>8</v>
      </c>
      <c r="S47" t="s">
        <v>8</v>
      </c>
      <c r="T47" t="s">
        <v>69</v>
      </c>
      <c r="U47" s="11">
        <f t="shared" si="1"/>
        <v>0.20617443319212375</v>
      </c>
      <c r="V47" t="s">
        <v>8</v>
      </c>
      <c r="Y47" t="s">
        <v>8</v>
      </c>
      <c r="Z47" t="s">
        <v>69</v>
      </c>
      <c r="AA47" s="11">
        <f t="shared" si="2"/>
        <v>0.20617443319212375</v>
      </c>
      <c r="AB47" t="s">
        <v>8</v>
      </c>
      <c r="AE47" t="s">
        <v>8</v>
      </c>
      <c r="AF47" t="s">
        <v>69</v>
      </c>
      <c r="AG47" s="11">
        <f t="shared" si="3"/>
        <v>0.20617443319212375</v>
      </c>
      <c r="AH47" t="s">
        <v>8</v>
      </c>
    </row>
    <row r="48" spans="1:34" x14ac:dyDescent="0.2">
      <c r="A48" t="s">
        <v>1</v>
      </c>
      <c r="B48" t="s">
        <v>39</v>
      </c>
      <c r="C48" s="11">
        <f>INDEX(PlasticsUse!$B$94:$L$111,MATCH(dataforsankey!$A48,PlasticsUse!$A$94:$A$108,0),MATCH(dataforsankey!$B48,PlasticsUse!$B$93:$L$93,0))</f>
        <v>0.35091038414257547</v>
      </c>
      <c r="G48" t="str">
        <f t="shared" si="4"/>
        <v>HDPE</v>
      </c>
      <c r="H48" t="str">
        <f t="shared" si="5"/>
        <v>Packaging</v>
      </c>
      <c r="I48">
        <f t="shared" si="6"/>
        <v>0.35091038414257547</v>
      </c>
      <c r="J48" t="str">
        <f t="shared" si="7"/>
        <v>HDPE</v>
      </c>
      <c r="M48" t="s">
        <v>891</v>
      </c>
      <c r="N48" t="s">
        <v>100</v>
      </c>
      <c r="O48" s="11">
        <f>_xlfn.IFNA(INDEX('Imports - Products'!$B$24:$G$40,MATCH(dataforsankey!$P48,'Imports - Products'!$A$24:$A$40,0),MATCH(dataforsankey!$N48,'Imports - Products'!$B$23:$G$23,0)),0)*10^-6</f>
        <v>0</v>
      </c>
      <c r="P48" t="s">
        <v>8</v>
      </c>
      <c r="S48" t="s">
        <v>8</v>
      </c>
      <c r="T48" t="s">
        <v>100</v>
      </c>
      <c r="U48" s="11">
        <f t="shared" si="1"/>
        <v>0.20617443319212375</v>
      </c>
      <c r="V48" t="s">
        <v>8</v>
      </c>
      <c r="Y48" t="s">
        <v>8</v>
      </c>
      <c r="Z48" t="s">
        <v>100</v>
      </c>
      <c r="AA48" s="11">
        <f t="shared" si="2"/>
        <v>0.20617443319212375</v>
      </c>
      <c r="AB48" t="s">
        <v>8</v>
      </c>
      <c r="AE48" t="s">
        <v>8</v>
      </c>
      <c r="AF48" t="s">
        <v>100</v>
      </c>
      <c r="AG48" s="11">
        <f t="shared" si="3"/>
        <v>0.20617443319212375</v>
      </c>
      <c r="AH48" t="s">
        <v>8</v>
      </c>
    </row>
    <row r="49" spans="1:34" x14ac:dyDescent="0.2">
      <c r="A49" t="s">
        <v>1</v>
      </c>
      <c r="B49" t="s">
        <v>68</v>
      </c>
      <c r="C49" s="11">
        <f>INDEX(PlasticsUse!$B$94:$L$111,MATCH(dataforsankey!$A49,PlasticsUse!$A$94:$A$108,0),MATCH(dataforsankey!$B49,PlasticsUse!$B$93:$L$93,0))</f>
        <v>0.38666172715734221</v>
      </c>
      <c r="G49" t="str">
        <f t="shared" si="4"/>
        <v>HDPE</v>
      </c>
      <c r="H49" t="str">
        <f t="shared" si="5"/>
        <v>Electrical/Electronic</v>
      </c>
      <c r="I49">
        <f t="shared" si="6"/>
        <v>0.38666172715734221</v>
      </c>
      <c r="J49" t="str">
        <f t="shared" si="7"/>
        <v>HDPE</v>
      </c>
      <c r="M49" t="s">
        <v>891</v>
      </c>
      <c r="N49" t="s">
        <v>39</v>
      </c>
      <c r="O49" s="11">
        <f>_xlfn.IFNA(INDEX('Imports - Products'!$B$24:$G$40,MATCH(dataforsankey!$P49,'Imports - Products'!$A$24:$A$40,0),MATCH(dataforsankey!$N49,'Imports - Products'!$B$23:$G$23,0)),0)*10^-6</f>
        <v>4.6433292373061784E-2</v>
      </c>
      <c r="P49" t="s">
        <v>8</v>
      </c>
      <c r="S49" t="s">
        <v>8</v>
      </c>
      <c r="T49" t="s">
        <v>39</v>
      </c>
      <c r="U49" s="11">
        <f t="shared" si="1"/>
        <v>0.20617443319212375</v>
      </c>
      <c r="V49" t="s">
        <v>8</v>
      </c>
      <c r="Y49" t="s">
        <v>8</v>
      </c>
      <c r="Z49" t="s">
        <v>39</v>
      </c>
      <c r="AA49" s="11">
        <f t="shared" si="2"/>
        <v>0.20617443319212375</v>
      </c>
      <c r="AB49" t="s">
        <v>8</v>
      </c>
      <c r="AE49" t="s">
        <v>8</v>
      </c>
      <c r="AF49" t="s">
        <v>39</v>
      </c>
      <c r="AG49" s="11">
        <f t="shared" si="3"/>
        <v>0.20617443319212375</v>
      </c>
      <c r="AH49" t="s">
        <v>8</v>
      </c>
    </row>
    <row r="50" spans="1:34" x14ac:dyDescent="0.2">
      <c r="A50" t="s">
        <v>1</v>
      </c>
      <c r="B50" t="s">
        <v>91</v>
      </c>
      <c r="C50" s="11" t="e">
        <f>INDEX(PlasticsUse!$B$94:$L$111,MATCH(dataforsankey!$A50,PlasticsUse!$A$94:$A$108,0),MATCH(dataforsankey!$B50,PlasticsUse!$B$93:$L$93,0))</f>
        <v>#N/A</v>
      </c>
      <c r="G50" t="str">
        <f t="shared" si="4"/>
        <v>HDPE</v>
      </c>
      <c r="H50" t="str">
        <f t="shared" si="5"/>
        <v>Consumer and Insitutional</v>
      </c>
      <c r="I50" t="e">
        <f t="shared" si="6"/>
        <v>#N/A</v>
      </c>
      <c r="J50" t="str">
        <f t="shared" si="7"/>
        <v>HDPE</v>
      </c>
      <c r="M50" t="s">
        <v>891</v>
      </c>
      <c r="N50" t="s">
        <v>68</v>
      </c>
      <c r="O50" s="11">
        <f>_xlfn.IFNA(INDEX('Imports - Products'!$B$24:$G$40,MATCH(dataforsankey!$P50,'Imports - Products'!$A$24:$A$40,0),MATCH(dataforsankey!$N50,'Imports - Products'!$B$23:$G$23,0)),0)*10^-6</f>
        <v>7.5895499454359902E-2</v>
      </c>
      <c r="P50" t="s">
        <v>8</v>
      </c>
      <c r="S50" t="s">
        <v>8</v>
      </c>
      <c r="T50" t="s">
        <v>68</v>
      </c>
      <c r="U50" s="11">
        <f t="shared" si="1"/>
        <v>0.20617443319212375</v>
      </c>
      <c r="V50" t="s">
        <v>8</v>
      </c>
      <c r="Y50" t="s">
        <v>8</v>
      </c>
      <c r="Z50" t="s">
        <v>68</v>
      </c>
      <c r="AA50" s="11">
        <f t="shared" si="2"/>
        <v>0.20617443319212375</v>
      </c>
      <c r="AB50" t="s">
        <v>8</v>
      </c>
      <c r="AE50" t="s">
        <v>8</v>
      </c>
      <c r="AF50" t="s">
        <v>68</v>
      </c>
      <c r="AG50" s="11">
        <f t="shared" si="3"/>
        <v>0.20617443319212375</v>
      </c>
      <c r="AH50" t="s">
        <v>8</v>
      </c>
    </row>
    <row r="51" spans="1:34" x14ac:dyDescent="0.2">
      <c r="A51" t="s">
        <v>1</v>
      </c>
      <c r="B51" t="s">
        <v>92</v>
      </c>
      <c r="C51" s="11">
        <f>INDEX(PlasticsUse!$B$94:$L$111,MATCH(dataforsankey!$A51,PlasticsUse!$A$94:$A$108,0),MATCH(dataforsankey!$B51,PlasticsUse!$B$93:$L$93,0))</f>
        <v>0.29456523123690448</v>
      </c>
      <c r="G51" t="str">
        <f t="shared" si="4"/>
        <v>HDPE</v>
      </c>
      <c r="H51" t="str">
        <f t="shared" si="5"/>
        <v>Adhesives/Inks/Coatings</v>
      </c>
      <c r="I51">
        <f t="shared" si="6"/>
        <v>0.29456523123690448</v>
      </c>
      <c r="J51" t="str">
        <f t="shared" si="7"/>
        <v>HDPE</v>
      </c>
      <c r="M51" t="s">
        <v>891</v>
      </c>
      <c r="N51" t="s">
        <v>63</v>
      </c>
      <c r="O51" s="11">
        <f>_xlfn.IFNA(INDEX('Imports - Products'!$B$24:$G$40,MATCH(dataforsankey!$P51,'Imports - Products'!$A$24:$A$40,0),MATCH(dataforsankey!$N51,'Imports - Products'!$B$23:$G$23,0)),0)*10^-6</f>
        <v>2.8476796828855868E-2</v>
      </c>
      <c r="P51" t="s">
        <v>8</v>
      </c>
      <c r="S51" t="s">
        <v>8</v>
      </c>
      <c r="T51" t="s">
        <v>63</v>
      </c>
      <c r="U51" s="11">
        <f t="shared" si="1"/>
        <v>0.20617443319212375</v>
      </c>
      <c r="V51" t="s">
        <v>8</v>
      </c>
      <c r="Y51" t="s">
        <v>8</v>
      </c>
      <c r="Z51" t="s">
        <v>63</v>
      </c>
      <c r="AA51" s="11">
        <f t="shared" si="2"/>
        <v>0.20617443319212375</v>
      </c>
      <c r="AB51" t="s">
        <v>8</v>
      </c>
      <c r="AE51" t="s">
        <v>8</v>
      </c>
      <c r="AF51" t="s">
        <v>63</v>
      </c>
      <c r="AG51" s="11">
        <f t="shared" si="3"/>
        <v>0.20617443319212375</v>
      </c>
      <c r="AH51" t="s">
        <v>8</v>
      </c>
    </row>
    <row r="52" spans="1:34" x14ac:dyDescent="0.2">
      <c r="A52" t="s">
        <v>1</v>
      </c>
      <c r="B52" t="s">
        <v>103</v>
      </c>
      <c r="C52" s="11">
        <f>INDEX(PlasticsUse!$B$94:$L$111,MATCH(dataforsankey!$A52,PlasticsUse!$A$94:$A$108,0),MATCH(dataforsankey!$B52,PlasticsUse!$B$93:$L$93,0))</f>
        <v>0</v>
      </c>
      <c r="G52" t="str">
        <f t="shared" si="4"/>
        <v>HDPE</v>
      </c>
      <c r="H52" t="str">
        <f t="shared" si="5"/>
        <v>Textiles, Fibers and Apparel</v>
      </c>
      <c r="I52">
        <f t="shared" si="6"/>
        <v>0</v>
      </c>
      <c r="J52" t="str">
        <f t="shared" si="7"/>
        <v>HDPE</v>
      </c>
      <c r="M52" t="s">
        <v>891</v>
      </c>
      <c r="N52" t="s">
        <v>92</v>
      </c>
      <c r="O52" s="11">
        <f>_xlfn.IFNA(INDEX('Imports - Products'!$B$24:$G$40,MATCH(dataforsankey!$P52,'Imports - Products'!$A$24:$A$40,0),MATCH(dataforsankey!$N52,'Imports - Products'!$B$23:$G$23,0)),0)*10^-6</f>
        <v>0</v>
      </c>
      <c r="P52" t="s">
        <v>8</v>
      </c>
      <c r="S52" t="s">
        <v>8</v>
      </c>
      <c r="T52" t="s">
        <v>92</v>
      </c>
      <c r="U52" s="11">
        <f t="shared" si="1"/>
        <v>0.20617443319212375</v>
      </c>
      <c r="V52" t="s">
        <v>8</v>
      </c>
      <c r="Y52" t="s">
        <v>8</v>
      </c>
      <c r="Z52" t="s">
        <v>92</v>
      </c>
      <c r="AA52" s="11">
        <f t="shared" si="2"/>
        <v>0.20617443319212375</v>
      </c>
      <c r="AB52" t="s">
        <v>8</v>
      </c>
      <c r="AE52" t="s">
        <v>8</v>
      </c>
      <c r="AF52" t="s">
        <v>92</v>
      </c>
      <c r="AG52" s="11">
        <f t="shared" si="3"/>
        <v>0.20617443319212375</v>
      </c>
      <c r="AH52" t="s">
        <v>8</v>
      </c>
    </row>
    <row r="53" spans="1:34" x14ac:dyDescent="0.2">
      <c r="A53" t="s">
        <v>1</v>
      </c>
      <c r="B53" t="s">
        <v>86</v>
      </c>
      <c r="C53" s="11">
        <f>INDEX(PlasticsUse!$B$94:$L$111,MATCH(dataforsankey!$A53,PlasticsUse!$A$94:$A$108,0),MATCH(dataforsankey!$B53,PlasticsUse!$B$93:$L$93,0))</f>
        <v>0.29456523123690448</v>
      </c>
      <c r="G53" t="str">
        <f t="shared" si="4"/>
        <v>HDPE</v>
      </c>
      <c r="H53" t="str">
        <f t="shared" si="5"/>
        <v>Other End Use Markets</v>
      </c>
      <c r="I53">
        <f t="shared" si="6"/>
        <v>0.29456523123690448</v>
      </c>
      <c r="J53" t="str">
        <f t="shared" si="7"/>
        <v>HDPE</v>
      </c>
      <c r="M53" t="s">
        <v>891</v>
      </c>
      <c r="N53" t="s">
        <v>103</v>
      </c>
      <c r="O53" s="11">
        <f>_xlfn.IFNA(INDEX('Imports - Products'!$B$24:$G$40,MATCH(dataforsankey!$P53,'Imports - Products'!$A$24:$A$40,0),MATCH(dataforsankey!$N53,'Imports - Products'!$B$23:$G$23,0)),0)*10^-6</f>
        <v>0</v>
      </c>
      <c r="P53" t="s">
        <v>8</v>
      </c>
      <c r="S53" t="s">
        <v>8</v>
      </c>
      <c r="T53" t="s">
        <v>103</v>
      </c>
      <c r="U53" s="11">
        <f t="shared" si="1"/>
        <v>0</v>
      </c>
      <c r="V53" t="s">
        <v>8</v>
      </c>
      <c r="Y53" t="s">
        <v>8</v>
      </c>
      <c r="Z53" t="s">
        <v>103</v>
      </c>
      <c r="AA53" s="11">
        <f t="shared" si="2"/>
        <v>0</v>
      </c>
      <c r="AB53" t="s">
        <v>8</v>
      </c>
      <c r="AE53" t="s">
        <v>8</v>
      </c>
      <c r="AF53" t="s">
        <v>103</v>
      </c>
      <c r="AG53" s="11">
        <f t="shared" si="3"/>
        <v>0</v>
      </c>
      <c r="AH53" t="s">
        <v>8</v>
      </c>
    </row>
    <row r="54" spans="1:34" x14ac:dyDescent="0.2">
      <c r="A54" t="s">
        <v>1</v>
      </c>
      <c r="B54" t="s">
        <v>18</v>
      </c>
      <c r="C54" s="11">
        <f>INDEX(PlasticsUse!$B$94:$L$111,MATCH(dataforsankey!$A54,PlasticsUse!$A$94:$A$108,0),MATCH(dataforsankey!$B54,PlasticsUse!$B$93:$L$93,0))</f>
        <v>0.29456523123690448</v>
      </c>
      <c r="G54" t="str">
        <f t="shared" si="4"/>
        <v>HDPE</v>
      </c>
      <c r="H54" t="str">
        <f t="shared" si="5"/>
        <v>Exports</v>
      </c>
      <c r="I54">
        <f t="shared" si="6"/>
        <v>0.29456523123690448</v>
      </c>
      <c r="J54" t="str">
        <f t="shared" si="7"/>
        <v>HDPE</v>
      </c>
      <c r="M54" t="s">
        <v>891</v>
      </c>
      <c r="N54" t="s">
        <v>86</v>
      </c>
      <c r="O54" s="11">
        <f>_xlfn.IFNA(INDEX('Imports - Products'!$B$24:$G$40,MATCH(dataforsankey!$P54,'Imports - Products'!$A$24:$A$40,0),MATCH(dataforsankey!$N54,'Imports - Products'!$B$23:$G$23,0)),0)*10^-6</f>
        <v>0</v>
      </c>
      <c r="P54" t="s">
        <v>8</v>
      </c>
      <c r="S54" t="s">
        <v>8</v>
      </c>
      <c r="T54" t="s">
        <v>86</v>
      </c>
      <c r="U54" s="11">
        <f t="shared" si="1"/>
        <v>0.20617443319212375</v>
      </c>
      <c r="V54" t="s">
        <v>8</v>
      </c>
      <c r="Y54" t="s">
        <v>8</v>
      </c>
      <c r="Z54" t="s">
        <v>86</v>
      </c>
      <c r="AA54" s="11">
        <f t="shared" si="2"/>
        <v>0.20617443319212375</v>
      </c>
      <c r="AB54" t="s">
        <v>8</v>
      </c>
      <c r="AE54" t="s">
        <v>8</v>
      </c>
      <c r="AF54" t="s">
        <v>86</v>
      </c>
      <c r="AG54" s="11">
        <f t="shared" si="3"/>
        <v>0.20617443319212375</v>
      </c>
      <c r="AH54" t="s">
        <v>8</v>
      </c>
    </row>
    <row r="55" spans="1:34" x14ac:dyDescent="0.2">
      <c r="A55" t="s">
        <v>7</v>
      </c>
      <c r="B55" t="s">
        <v>38</v>
      </c>
      <c r="C55" s="11">
        <f>INDEX(PlasticsUse!$B$94:$L$111,MATCH(dataforsankey!$A55,PlasticsUse!$A$94:$A$108,0),MATCH(dataforsankey!$B55,PlasticsUse!$B$93:$L$93,0))</f>
        <v>0.2221145175819659</v>
      </c>
      <c r="G55" t="str">
        <f t="shared" si="4"/>
        <v>PVC</v>
      </c>
      <c r="H55" t="str">
        <f t="shared" si="5"/>
        <v>Building and Construction</v>
      </c>
      <c r="I55">
        <f t="shared" si="6"/>
        <v>0.2221145175819659</v>
      </c>
      <c r="J55" t="str">
        <f t="shared" si="7"/>
        <v>PVC</v>
      </c>
      <c r="M55" t="s">
        <v>891</v>
      </c>
      <c r="N55" t="s">
        <v>18</v>
      </c>
      <c r="O55" s="11">
        <f>_xlfn.IFNA(INDEX('Imports - Products'!$B$24:$G$40,MATCH(dataforsankey!$P55,'Imports - Products'!$A$24:$A$40,0),MATCH(dataforsankey!$N55,'Imports - Products'!$B$23:$G$23,0)),0)*10^-6</f>
        <v>0</v>
      </c>
      <c r="P55" t="s">
        <v>8</v>
      </c>
      <c r="S55" t="s">
        <v>8</v>
      </c>
      <c r="T55" t="s">
        <v>18</v>
      </c>
      <c r="U55" s="11">
        <f t="shared" si="1"/>
        <v>0.20617443319212375</v>
      </c>
      <c r="V55" t="s">
        <v>8</v>
      </c>
      <c r="Y55" t="s">
        <v>8</v>
      </c>
      <c r="Z55" t="s">
        <v>18</v>
      </c>
      <c r="AA55" s="11">
        <f t="shared" ref="AA55:AA86" si="8">SUMIFS($O$23:$O$953,$M$23:$M$953,Y55,$N$23:$N$953,Z55,$P$23:$P$953,AB55)</f>
        <v>0.20617443319212375</v>
      </c>
      <c r="AB55" t="s">
        <v>8</v>
      </c>
      <c r="AE55" t="s">
        <v>8</v>
      </c>
      <c r="AF55" t="s">
        <v>18</v>
      </c>
      <c r="AG55" s="11">
        <f t="shared" ref="AG55:AG86" si="9">SUMIFS($O$23:$O$953,$M$23:$M$953,AE55,$N$23:$N$953,AF55,$P$23:$P$953,AH55)</f>
        <v>0.20617443319212375</v>
      </c>
      <c r="AH55" t="s">
        <v>8</v>
      </c>
    </row>
    <row r="56" spans="1:34" x14ac:dyDescent="0.2">
      <c r="A56" t="s">
        <v>7</v>
      </c>
      <c r="B56" t="s">
        <v>99</v>
      </c>
      <c r="C56" s="11">
        <f>INDEX(PlasticsUse!$B$94:$L$111,MATCH(dataforsankey!$A56,PlasticsUse!$A$94:$A$108,0),MATCH(dataforsankey!$B56,PlasticsUse!$B$93:$L$93,0))</f>
        <v>0.24828901421150662</v>
      </c>
      <c r="G56" t="str">
        <f t="shared" si="4"/>
        <v>PVC</v>
      </c>
      <c r="H56" t="str">
        <f t="shared" si="5"/>
        <v>Furniture and Furnishings</v>
      </c>
      <c r="I56">
        <f t="shared" si="6"/>
        <v>0.24828901421150662</v>
      </c>
      <c r="J56" t="str">
        <f t="shared" si="7"/>
        <v>PVC</v>
      </c>
      <c r="M56" t="s">
        <v>891</v>
      </c>
      <c r="N56" t="s">
        <v>38</v>
      </c>
      <c r="O56" s="11">
        <f>_xlfn.IFNA(INDEX('Imports - Products'!$B$24:$G$40,MATCH(dataforsankey!$P56,'Imports - Products'!$A$24:$A$40,0),MATCH(dataforsankey!$N56,'Imports - Products'!$B$23:$G$23,0)),0)*10^-6</f>
        <v>0</v>
      </c>
      <c r="P56" t="s">
        <v>19</v>
      </c>
      <c r="S56" t="s">
        <v>19</v>
      </c>
      <c r="T56" t="s">
        <v>38</v>
      </c>
      <c r="U56" s="11">
        <f t="shared" si="1"/>
        <v>0.20617443319212375</v>
      </c>
      <c r="V56" t="s">
        <v>19</v>
      </c>
      <c r="Y56" t="s">
        <v>19</v>
      </c>
      <c r="Z56" t="s">
        <v>38</v>
      </c>
      <c r="AA56" s="11">
        <f t="shared" si="8"/>
        <v>0.20617443319212375</v>
      </c>
      <c r="AB56" t="s">
        <v>19</v>
      </c>
      <c r="AE56" t="s">
        <v>19</v>
      </c>
      <c r="AF56" t="s">
        <v>38</v>
      </c>
      <c r="AG56" s="11">
        <f t="shared" si="9"/>
        <v>0.20617443319212375</v>
      </c>
      <c r="AH56" t="s">
        <v>19</v>
      </c>
    </row>
    <row r="57" spans="1:34" x14ac:dyDescent="0.2">
      <c r="A57" t="s">
        <v>7</v>
      </c>
      <c r="B57" t="s">
        <v>69</v>
      </c>
      <c r="C57" s="11">
        <f>INDEX(PlasticsUse!$B$94:$L$111,MATCH(dataforsankey!$A57,PlasticsUse!$A$94:$A$108,0),MATCH(dataforsankey!$B57,PlasticsUse!$B$93:$L$93,0))</f>
        <v>0.27649532576311753</v>
      </c>
      <c r="G57" t="str">
        <f t="shared" si="4"/>
        <v>PVC</v>
      </c>
      <c r="H57" t="str">
        <f t="shared" si="5"/>
        <v>Transportation</v>
      </c>
      <c r="I57">
        <f t="shared" si="6"/>
        <v>0.27649532576311753</v>
      </c>
      <c r="J57" t="str">
        <f t="shared" si="7"/>
        <v>PVC</v>
      </c>
      <c r="M57" t="s">
        <v>891</v>
      </c>
      <c r="N57" t="s">
        <v>99</v>
      </c>
      <c r="O57" s="11">
        <f>_xlfn.IFNA(INDEX('Imports - Products'!$B$24:$G$40,MATCH(dataforsankey!$P57,'Imports - Products'!$A$24:$A$40,0),MATCH(dataforsankey!$N57,'Imports - Products'!$B$23:$G$23,0)),0)*10^-6</f>
        <v>2.4821927167594179E-2</v>
      </c>
      <c r="P57" t="s">
        <v>19</v>
      </c>
      <c r="S57" t="s">
        <v>19</v>
      </c>
      <c r="T57" t="s">
        <v>99</v>
      </c>
      <c r="U57" s="11">
        <f t="shared" si="1"/>
        <v>0.20617443319212375</v>
      </c>
      <c r="V57" t="s">
        <v>19</v>
      </c>
      <c r="Y57" t="s">
        <v>19</v>
      </c>
      <c r="Z57" t="s">
        <v>99</v>
      </c>
      <c r="AA57" s="11">
        <f t="shared" si="8"/>
        <v>0.20617443319212375</v>
      </c>
      <c r="AB57" t="s">
        <v>19</v>
      </c>
      <c r="AE57" t="s">
        <v>19</v>
      </c>
      <c r="AF57" t="s">
        <v>99</v>
      </c>
      <c r="AG57" s="11">
        <f t="shared" si="9"/>
        <v>0.20617443319212375</v>
      </c>
      <c r="AH57" t="s">
        <v>19</v>
      </c>
    </row>
    <row r="58" spans="1:34" x14ac:dyDescent="0.2">
      <c r="A58" t="s">
        <v>7</v>
      </c>
      <c r="B58" t="s">
        <v>100</v>
      </c>
      <c r="C58" s="11">
        <f>INDEX(PlasticsUse!$B$94:$L$111,MATCH(dataforsankey!$A58,PlasticsUse!$A$94:$A$108,0),MATCH(dataforsankey!$B58,PlasticsUse!$B$93:$L$93,0))</f>
        <v>0.2221145175819659</v>
      </c>
      <c r="G58" t="str">
        <f t="shared" si="4"/>
        <v>PVC</v>
      </c>
      <c r="H58" t="str">
        <f t="shared" si="5"/>
        <v>Industrial/Machinery</v>
      </c>
      <c r="I58">
        <f t="shared" si="6"/>
        <v>0.2221145175819659</v>
      </c>
      <c r="J58" t="str">
        <f t="shared" si="7"/>
        <v>PVC</v>
      </c>
      <c r="M58" t="s">
        <v>891</v>
      </c>
      <c r="N58" t="s">
        <v>69</v>
      </c>
      <c r="O58" s="11">
        <f>_xlfn.IFNA(INDEX('Imports - Products'!$B$24:$G$40,MATCH(dataforsankey!$P58,'Imports - Products'!$A$24:$A$40,0),MATCH(dataforsankey!$N58,'Imports - Products'!$B$23:$G$23,0)),0)*10^-6</f>
        <v>5.157067503884754E-2</v>
      </c>
      <c r="P58" t="s">
        <v>19</v>
      </c>
      <c r="S58" t="s">
        <v>19</v>
      </c>
      <c r="T58" t="s">
        <v>69</v>
      </c>
      <c r="U58" s="11">
        <f t="shared" si="1"/>
        <v>0.20617443319212375</v>
      </c>
      <c r="V58" t="s">
        <v>19</v>
      </c>
      <c r="Y58" t="s">
        <v>19</v>
      </c>
      <c r="Z58" t="s">
        <v>69</v>
      </c>
      <c r="AA58" s="11">
        <f t="shared" si="8"/>
        <v>0.20617443319212375</v>
      </c>
      <c r="AB58" t="s">
        <v>19</v>
      </c>
      <c r="AE58" t="s">
        <v>19</v>
      </c>
      <c r="AF58" t="s">
        <v>69</v>
      </c>
      <c r="AG58" s="11">
        <f t="shared" si="9"/>
        <v>0.20617443319212375</v>
      </c>
      <c r="AH58" t="s">
        <v>19</v>
      </c>
    </row>
    <row r="59" spans="1:34" x14ac:dyDescent="0.2">
      <c r="A59" t="s">
        <v>7</v>
      </c>
      <c r="B59" t="s">
        <v>39</v>
      </c>
      <c r="C59" s="11">
        <f>INDEX(PlasticsUse!$B$94:$L$111,MATCH(dataforsankey!$A59,PlasticsUse!$A$94:$A$108,0),MATCH(dataforsankey!$B59,PlasticsUse!$B$93:$L$93,0))</f>
        <v>0.26460112200290636</v>
      </c>
      <c r="G59" t="str">
        <f t="shared" si="4"/>
        <v>PVC</v>
      </c>
      <c r="H59" t="str">
        <f t="shared" si="5"/>
        <v>Packaging</v>
      </c>
      <c r="I59">
        <f t="shared" si="6"/>
        <v>0.26460112200290636</v>
      </c>
      <c r="J59" t="str">
        <f t="shared" si="7"/>
        <v>PVC</v>
      </c>
      <c r="M59" t="s">
        <v>891</v>
      </c>
      <c r="N59" t="s">
        <v>100</v>
      </c>
      <c r="O59" s="11">
        <f>_xlfn.IFNA(INDEX('Imports - Products'!$B$24:$G$40,MATCH(dataforsankey!$P59,'Imports - Products'!$A$24:$A$40,0),MATCH(dataforsankey!$N59,'Imports - Products'!$B$23:$G$23,0)),0)*10^-6</f>
        <v>0</v>
      </c>
      <c r="P59" t="s">
        <v>19</v>
      </c>
      <c r="S59" t="s">
        <v>19</v>
      </c>
      <c r="T59" t="s">
        <v>100</v>
      </c>
      <c r="U59" s="11">
        <f t="shared" si="1"/>
        <v>0.20617443319212375</v>
      </c>
      <c r="V59" t="s">
        <v>19</v>
      </c>
      <c r="Y59" t="s">
        <v>19</v>
      </c>
      <c r="Z59" t="s">
        <v>100</v>
      </c>
      <c r="AA59" s="11">
        <f t="shared" si="8"/>
        <v>0.20617443319212375</v>
      </c>
      <c r="AB59" t="s">
        <v>19</v>
      </c>
      <c r="AE59" t="s">
        <v>19</v>
      </c>
      <c r="AF59" t="s">
        <v>100</v>
      </c>
      <c r="AG59" s="11">
        <f t="shared" si="9"/>
        <v>0.20617443319212375</v>
      </c>
      <c r="AH59" t="s">
        <v>19</v>
      </c>
    </row>
    <row r="60" spans="1:34" x14ac:dyDescent="0.2">
      <c r="A60" t="s">
        <v>7</v>
      </c>
      <c r="B60" t="s">
        <v>68</v>
      </c>
      <c r="C60" s="11">
        <f>INDEX(PlasticsUse!$B$94:$L$111,MATCH(dataforsankey!$A60,PlasticsUse!$A$94:$A$108,0),MATCH(dataforsankey!$B60,PlasticsUse!$B$93:$L$93,0))</f>
        <v>0.29155913151844837</v>
      </c>
      <c r="G60" t="str">
        <f t="shared" si="4"/>
        <v>PVC</v>
      </c>
      <c r="H60" t="str">
        <f t="shared" si="5"/>
        <v>Electrical/Electronic</v>
      </c>
      <c r="I60">
        <f t="shared" si="6"/>
        <v>0.29155913151844837</v>
      </c>
      <c r="J60" t="str">
        <f t="shared" si="7"/>
        <v>PVC</v>
      </c>
      <c r="M60" t="s">
        <v>891</v>
      </c>
      <c r="N60" t="s">
        <v>39</v>
      </c>
      <c r="O60" s="11">
        <f>_xlfn.IFNA(INDEX('Imports - Products'!$B$24:$G$40,MATCH(dataforsankey!$P60,'Imports - Products'!$A$24:$A$40,0),MATCH(dataforsankey!$N60,'Imports - Products'!$B$23:$G$23,0)),0)*10^-6</f>
        <v>4.0291105325201942E-2</v>
      </c>
      <c r="P60" t="s">
        <v>19</v>
      </c>
      <c r="S60" t="s">
        <v>19</v>
      </c>
      <c r="T60" t="s">
        <v>39</v>
      </c>
      <c r="U60" s="11">
        <f t="shared" si="1"/>
        <v>0.20617443319212375</v>
      </c>
      <c r="V60" t="s">
        <v>19</v>
      </c>
      <c r="Y60" t="s">
        <v>19</v>
      </c>
      <c r="Z60" t="s">
        <v>39</v>
      </c>
      <c r="AA60" s="11">
        <f t="shared" si="8"/>
        <v>0.20617443319212375</v>
      </c>
      <c r="AB60" t="s">
        <v>19</v>
      </c>
      <c r="AE60" t="s">
        <v>19</v>
      </c>
      <c r="AF60" t="s">
        <v>39</v>
      </c>
      <c r="AG60" s="11">
        <f t="shared" si="9"/>
        <v>0.20617443319212375</v>
      </c>
      <c r="AH60" t="s">
        <v>19</v>
      </c>
    </row>
    <row r="61" spans="1:34" x14ac:dyDescent="0.2">
      <c r="A61" t="s">
        <v>7</v>
      </c>
      <c r="B61" t="s">
        <v>91</v>
      </c>
      <c r="C61" s="11" t="e">
        <f>INDEX(PlasticsUse!$B$94:$L$111,MATCH(dataforsankey!$A61,PlasticsUse!$A$94:$A$108,0),MATCH(dataforsankey!$B61,PlasticsUse!$B$93:$L$93,0))</f>
        <v>#N/A</v>
      </c>
      <c r="G61" t="str">
        <f t="shared" si="4"/>
        <v>PVC</v>
      </c>
      <c r="H61" t="str">
        <f t="shared" si="5"/>
        <v>Consumer and Insitutional</v>
      </c>
      <c r="I61" t="e">
        <f t="shared" si="6"/>
        <v>#N/A</v>
      </c>
      <c r="J61" t="str">
        <f t="shared" si="7"/>
        <v>PVC</v>
      </c>
      <c r="M61" t="s">
        <v>891</v>
      </c>
      <c r="N61" t="s">
        <v>68</v>
      </c>
      <c r="O61" s="11">
        <f>_xlfn.IFNA(INDEX('Imports - Products'!$B$24:$G$40,MATCH(dataforsankey!$P61,'Imports - Products'!$A$24:$A$40,0),MATCH(dataforsankey!$N61,'Imports - Products'!$B$23:$G$23,0)),0)*10^-6</f>
        <v>6.5856057280109348E-2</v>
      </c>
      <c r="P61" t="s">
        <v>19</v>
      </c>
      <c r="S61" t="s">
        <v>19</v>
      </c>
      <c r="T61" t="s">
        <v>68</v>
      </c>
      <c r="U61" s="11">
        <f t="shared" si="1"/>
        <v>0.20617443319212375</v>
      </c>
      <c r="V61" t="s">
        <v>19</v>
      </c>
      <c r="Y61" t="s">
        <v>19</v>
      </c>
      <c r="Z61" t="s">
        <v>68</v>
      </c>
      <c r="AA61" s="11">
        <f t="shared" si="8"/>
        <v>0.20617443319212375</v>
      </c>
      <c r="AB61" t="s">
        <v>19</v>
      </c>
      <c r="AE61" t="s">
        <v>19</v>
      </c>
      <c r="AF61" t="s">
        <v>68</v>
      </c>
      <c r="AG61" s="11">
        <f t="shared" si="9"/>
        <v>0.20617443319212375</v>
      </c>
      <c r="AH61" t="s">
        <v>19</v>
      </c>
    </row>
    <row r="62" spans="1:34" x14ac:dyDescent="0.2">
      <c r="A62" t="s">
        <v>7</v>
      </c>
      <c r="B62" t="s">
        <v>92</v>
      </c>
      <c r="C62" s="11">
        <f>INDEX(PlasticsUse!$B$94:$L$111,MATCH(dataforsankey!$A62,PlasticsUse!$A$94:$A$108,0),MATCH(dataforsankey!$B62,PlasticsUse!$B$93:$L$93,0))</f>
        <v>0.2221145175819659</v>
      </c>
      <c r="G62" t="str">
        <f t="shared" si="4"/>
        <v>PVC</v>
      </c>
      <c r="H62" t="str">
        <f t="shared" si="5"/>
        <v>Adhesives/Inks/Coatings</v>
      </c>
      <c r="I62">
        <f t="shared" si="6"/>
        <v>0.2221145175819659</v>
      </c>
      <c r="J62" t="str">
        <f t="shared" si="7"/>
        <v>PVC</v>
      </c>
      <c r="M62" t="s">
        <v>891</v>
      </c>
      <c r="N62" t="s">
        <v>63</v>
      </c>
      <c r="O62" s="11">
        <f>_xlfn.IFNA(INDEX('Imports - Products'!$B$24:$G$40,MATCH(dataforsankey!$P62,'Imports - Products'!$A$24:$A$40,0),MATCH(dataforsankey!$N62,'Imports - Products'!$B$23:$G$23,0)),0)*10^-6</f>
        <v>2.4709891582476901E-2</v>
      </c>
      <c r="P62" t="s">
        <v>19</v>
      </c>
      <c r="S62" t="s">
        <v>19</v>
      </c>
      <c r="T62" t="s">
        <v>63</v>
      </c>
      <c r="U62" s="11">
        <f t="shared" si="1"/>
        <v>0.20617443319212375</v>
      </c>
      <c r="V62" t="s">
        <v>19</v>
      </c>
      <c r="Y62" t="s">
        <v>19</v>
      </c>
      <c r="Z62" t="s">
        <v>63</v>
      </c>
      <c r="AA62" s="11">
        <f t="shared" si="8"/>
        <v>0.20617443319212375</v>
      </c>
      <c r="AB62" t="s">
        <v>19</v>
      </c>
      <c r="AE62" t="s">
        <v>19</v>
      </c>
      <c r="AF62" t="s">
        <v>63</v>
      </c>
      <c r="AG62" s="11">
        <f t="shared" si="9"/>
        <v>0.20617443319212375</v>
      </c>
      <c r="AH62" t="s">
        <v>19</v>
      </c>
    </row>
    <row r="63" spans="1:34" x14ac:dyDescent="0.2">
      <c r="A63" t="s">
        <v>7</v>
      </c>
      <c r="B63" t="s">
        <v>103</v>
      </c>
      <c r="C63" s="11">
        <f>INDEX(PlasticsUse!$B$94:$L$111,MATCH(dataforsankey!$A63,PlasticsUse!$A$94:$A$108,0),MATCH(dataforsankey!$B63,PlasticsUse!$B$93:$L$93,0))</f>
        <v>0</v>
      </c>
      <c r="G63" t="str">
        <f t="shared" si="4"/>
        <v>PVC</v>
      </c>
      <c r="H63" t="str">
        <f t="shared" si="5"/>
        <v>Textiles, Fibers and Apparel</v>
      </c>
      <c r="I63">
        <f t="shared" si="6"/>
        <v>0</v>
      </c>
      <c r="J63" t="str">
        <f t="shared" si="7"/>
        <v>PVC</v>
      </c>
      <c r="M63" t="s">
        <v>891</v>
      </c>
      <c r="N63" t="s">
        <v>92</v>
      </c>
      <c r="O63" s="11">
        <f>_xlfn.IFNA(INDEX('Imports - Products'!$B$24:$G$40,MATCH(dataforsankey!$P63,'Imports - Products'!$A$24:$A$40,0),MATCH(dataforsankey!$N63,'Imports - Products'!$B$23:$G$23,0)),0)*10^-6</f>
        <v>0</v>
      </c>
      <c r="P63" t="s">
        <v>19</v>
      </c>
      <c r="S63" t="s">
        <v>19</v>
      </c>
      <c r="T63" t="s">
        <v>92</v>
      </c>
      <c r="U63" s="11">
        <f t="shared" si="1"/>
        <v>0.20617443319212375</v>
      </c>
      <c r="V63" t="s">
        <v>19</v>
      </c>
      <c r="Y63" t="s">
        <v>19</v>
      </c>
      <c r="Z63" t="s">
        <v>92</v>
      </c>
      <c r="AA63" s="11">
        <f t="shared" si="8"/>
        <v>0.20617443319212375</v>
      </c>
      <c r="AB63" t="s">
        <v>19</v>
      </c>
      <c r="AE63" t="s">
        <v>19</v>
      </c>
      <c r="AF63" t="s">
        <v>92</v>
      </c>
      <c r="AG63" s="11">
        <f t="shared" si="9"/>
        <v>0.20617443319212375</v>
      </c>
      <c r="AH63" t="s">
        <v>19</v>
      </c>
    </row>
    <row r="64" spans="1:34" x14ac:dyDescent="0.2">
      <c r="A64" t="s">
        <v>7</v>
      </c>
      <c r="B64" t="s">
        <v>86</v>
      </c>
      <c r="C64" s="11">
        <f>INDEX(PlasticsUse!$B$94:$L$111,MATCH(dataforsankey!$A64,PlasticsUse!$A$94:$A$108,0),MATCH(dataforsankey!$B64,PlasticsUse!$B$93:$L$93,0))</f>
        <v>0.2221145175819659</v>
      </c>
      <c r="G64" t="str">
        <f t="shared" si="4"/>
        <v>PVC</v>
      </c>
      <c r="H64" t="str">
        <f t="shared" si="5"/>
        <v>Other End Use Markets</v>
      </c>
      <c r="I64">
        <f t="shared" si="6"/>
        <v>0.2221145175819659</v>
      </c>
      <c r="J64" t="str">
        <f t="shared" si="7"/>
        <v>PVC</v>
      </c>
      <c r="M64" t="s">
        <v>891</v>
      </c>
      <c r="N64" t="s">
        <v>103</v>
      </c>
      <c r="O64" s="11">
        <f>_xlfn.IFNA(INDEX('Imports - Products'!$B$24:$G$40,MATCH(dataforsankey!$P64,'Imports - Products'!$A$24:$A$40,0),MATCH(dataforsankey!$N64,'Imports - Products'!$B$23:$G$23,0)),0)*10^-6</f>
        <v>0</v>
      </c>
      <c r="P64" t="s">
        <v>19</v>
      </c>
      <c r="S64" t="s">
        <v>19</v>
      </c>
      <c r="T64" t="s">
        <v>103</v>
      </c>
      <c r="U64" s="11">
        <f t="shared" si="1"/>
        <v>0</v>
      </c>
      <c r="V64" t="s">
        <v>19</v>
      </c>
      <c r="Y64" t="s">
        <v>19</v>
      </c>
      <c r="Z64" t="s">
        <v>103</v>
      </c>
      <c r="AA64" s="11">
        <f t="shared" si="8"/>
        <v>0</v>
      </c>
      <c r="AB64" t="s">
        <v>19</v>
      </c>
      <c r="AE64" t="s">
        <v>19</v>
      </c>
      <c r="AF64" t="s">
        <v>103</v>
      </c>
      <c r="AG64" s="11">
        <f t="shared" si="9"/>
        <v>0</v>
      </c>
      <c r="AH64" t="s">
        <v>19</v>
      </c>
    </row>
    <row r="65" spans="1:34" x14ac:dyDescent="0.2">
      <c r="A65" t="s">
        <v>7</v>
      </c>
      <c r="B65" t="s">
        <v>18</v>
      </c>
      <c r="C65" s="11">
        <f>INDEX(PlasticsUse!$B$94:$L$111,MATCH(dataforsankey!$A65,PlasticsUse!$A$94:$A$108,0),MATCH(dataforsankey!$B65,PlasticsUse!$B$93:$L$93,0))</f>
        <v>0.2221145175819659</v>
      </c>
      <c r="G65" t="str">
        <f t="shared" si="4"/>
        <v>PVC</v>
      </c>
      <c r="H65" t="str">
        <f t="shared" si="5"/>
        <v>Exports</v>
      </c>
      <c r="I65">
        <f t="shared" si="6"/>
        <v>0.2221145175819659</v>
      </c>
      <c r="J65" t="str">
        <f t="shared" si="7"/>
        <v>PVC</v>
      </c>
      <c r="M65" t="s">
        <v>891</v>
      </c>
      <c r="N65" t="s">
        <v>86</v>
      </c>
      <c r="O65" s="11">
        <f>_xlfn.IFNA(INDEX('Imports - Products'!$B$24:$G$40,MATCH(dataforsankey!$P65,'Imports - Products'!$A$24:$A$40,0),MATCH(dataforsankey!$N65,'Imports - Products'!$B$23:$G$23,0)),0)*10^-6</f>
        <v>0</v>
      </c>
      <c r="P65" t="s">
        <v>19</v>
      </c>
      <c r="S65" t="s">
        <v>19</v>
      </c>
      <c r="T65" t="s">
        <v>86</v>
      </c>
      <c r="U65" s="11">
        <f t="shared" si="1"/>
        <v>0.20617443319212375</v>
      </c>
      <c r="V65" t="s">
        <v>19</v>
      </c>
      <c r="Y65" t="s">
        <v>19</v>
      </c>
      <c r="Z65" t="s">
        <v>86</v>
      </c>
      <c r="AA65" s="11">
        <f t="shared" si="8"/>
        <v>0.20617443319212375</v>
      </c>
      <c r="AB65" t="s">
        <v>19</v>
      </c>
      <c r="AE65" t="s">
        <v>19</v>
      </c>
      <c r="AF65" t="s">
        <v>86</v>
      </c>
      <c r="AG65" s="11">
        <f t="shared" si="9"/>
        <v>0.20617443319212375</v>
      </c>
      <c r="AH65" t="s">
        <v>19</v>
      </c>
    </row>
    <row r="66" spans="1:34" x14ac:dyDescent="0.2">
      <c r="A66" t="s">
        <v>8</v>
      </c>
      <c r="B66" t="s">
        <v>38</v>
      </c>
      <c r="C66" s="11">
        <f>INDEX(PlasticsUse!$B$94:$L$111,MATCH(dataforsankey!$A66,PlasticsUse!$A$94:$A$108,0),MATCH(dataforsankey!$B66,PlasticsUse!$B$93:$L$93,0))</f>
        <v>0.24274729590067587</v>
      </c>
      <c r="G66" t="str">
        <f t="shared" si="4"/>
        <v>LDPE</v>
      </c>
      <c r="H66" t="str">
        <f t="shared" si="5"/>
        <v>Building and Construction</v>
      </c>
      <c r="I66">
        <f t="shared" si="6"/>
        <v>0.24274729590067587</v>
      </c>
      <c r="J66" t="str">
        <f t="shared" si="7"/>
        <v>LDPE</v>
      </c>
      <c r="M66" t="s">
        <v>891</v>
      </c>
      <c r="N66" t="s">
        <v>18</v>
      </c>
      <c r="O66" s="11">
        <f>_xlfn.IFNA(INDEX('Imports - Products'!$B$24:$G$40,MATCH(dataforsankey!$P66,'Imports - Products'!$A$24:$A$40,0),MATCH(dataforsankey!$N66,'Imports - Products'!$B$23:$G$23,0)),0)*10^-6</f>
        <v>0</v>
      </c>
      <c r="P66" t="s">
        <v>19</v>
      </c>
      <c r="S66" t="s">
        <v>19</v>
      </c>
      <c r="T66" t="s">
        <v>18</v>
      </c>
      <c r="U66" s="11">
        <f t="shared" si="1"/>
        <v>0.20617443319212375</v>
      </c>
      <c r="V66" t="s">
        <v>19</v>
      </c>
      <c r="Y66" t="s">
        <v>19</v>
      </c>
      <c r="Z66" t="s">
        <v>18</v>
      </c>
      <c r="AA66" s="11">
        <f t="shared" si="8"/>
        <v>0.20617443319212375</v>
      </c>
      <c r="AB66" t="s">
        <v>19</v>
      </c>
      <c r="AE66" t="s">
        <v>19</v>
      </c>
      <c r="AF66" t="s">
        <v>18</v>
      </c>
      <c r="AG66" s="11">
        <f t="shared" si="9"/>
        <v>0.20617443319212375</v>
      </c>
      <c r="AH66" t="s">
        <v>19</v>
      </c>
    </row>
    <row r="67" spans="1:34" x14ac:dyDescent="0.2">
      <c r="A67" t="s">
        <v>8</v>
      </c>
      <c r="B67" t="s">
        <v>99</v>
      </c>
      <c r="C67" s="11">
        <f>INDEX(PlasticsUse!$B$94:$L$111,MATCH(dataforsankey!$A67,PlasticsUse!$A$94:$A$108,0),MATCH(dataforsankey!$B67,PlasticsUse!$B$93:$L$93,0))</f>
        <v>0.27135320760582887</v>
      </c>
      <c r="G67" t="str">
        <f t="shared" si="4"/>
        <v>LDPE</v>
      </c>
      <c r="H67" t="str">
        <f t="shared" si="5"/>
        <v>Furniture and Furnishings</v>
      </c>
      <c r="I67">
        <f t="shared" si="6"/>
        <v>0.27135320760582887</v>
      </c>
      <c r="J67" t="str">
        <f t="shared" si="7"/>
        <v>LDPE</v>
      </c>
      <c r="M67" t="s">
        <v>891</v>
      </c>
      <c r="N67" t="s">
        <v>38</v>
      </c>
      <c r="O67" s="11">
        <f>_xlfn.IFNA(INDEX('Imports - Products'!$B$24:$G$40,MATCH(dataforsankey!$P67,'Imports - Products'!$A$24:$A$40,0),MATCH(dataforsankey!$N67,'Imports - Products'!$B$23:$G$23,0)),0)*10^-6</f>
        <v>0</v>
      </c>
      <c r="P67" t="s">
        <v>1</v>
      </c>
      <c r="S67" t="s">
        <v>1</v>
      </c>
      <c r="T67" t="s">
        <v>38</v>
      </c>
      <c r="U67" s="11">
        <f t="shared" si="1"/>
        <v>0.20617443319212375</v>
      </c>
      <c r="V67" t="s">
        <v>1</v>
      </c>
      <c r="Y67" t="s">
        <v>1</v>
      </c>
      <c r="Z67" t="s">
        <v>38</v>
      </c>
      <c r="AA67" s="11">
        <f t="shared" si="8"/>
        <v>0.20617443319212375</v>
      </c>
      <c r="AB67" t="s">
        <v>1</v>
      </c>
      <c r="AE67" t="s">
        <v>1</v>
      </c>
      <c r="AF67" t="s">
        <v>38</v>
      </c>
      <c r="AG67" s="11">
        <f t="shared" si="9"/>
        <v>0.20617443319212375</v>
      </c>
      <c r="AH67" t="s">
        <v>1</v>
      </c>
    </row>
    <row r="68" spans="1:34" x14ac:dyDescent="0.2">
      <c r="A68" t="s">
        <v>8</v>
      </c>
      <c r="B68" t="s">
        <v>69</v>
      </c>
      <c r="C68" s="11">
        <f>INDEX(PlasticsUse!$B$94:$L$111,MATCH(dataforsankey!$A68,PlasticsUse!$A$94:$A$108,0),MATCH(dataforsankey!$B68,PlasticsUse!$B$93:$L$93,0))</f>
        <v>0.30217967465095941</v>
      </c>
      <c r="G68" t="str">
        <f t="shared" si="4"/>
        <v>LDPE</v>
      </c>
      <c r="H68" t="str">
        <f t="shared" si="5"/>
        <v>Transportation</v>
      </c>
      <c r="I68">
        <f t="shared" si="6"/>
        <v>0.30217967465095941</v>
      </c>
      <c r="J68" t="str">
        <f t="shared" si="7"/>
        <v>LDPE</v>
      </c>
      <c r="M68" t="s">
        <v>891</v>
      </c>
      <c r="N68" t="s">
        <v>99</v>
      </c>
      <c r="O68" s="11">
        <f>_xlfn.IFNA(INDEX('Imports - Products'!$B$24:$G$40,MATCH(dataforsankey!$P68,'Imports - Products'!$A$24:$A$40,0),MATCH(dataforsankey!$N68,'Imports - Products'!$B$23:$G$23,0)),0)*10^-6</f>
        <v>3.4712258955991122E-2</v>
      </c>
      <c r="P68" t="s">
        <v>1</v>
      </c>
      <c r="S68" t="s">
        <v>1</v>
      </c>
      <c r="T68" t="s">
        <v>99</v>
      </c>
      <c r="U68" s="11">
        <f t="shared" si="1"/>
        <v>0.20617443319212375</v>
      </c>
      <c r="V68" t="s">
        <v>1</v>
      </c>
      <c r="Y68" t="s">
        <v>1</v>
      </c>
      <c r="Z68" t="s">
        <v>99</v>
      </c>
      <c r="AA68" s="11">
        <f t="shared" si="8"/>
        <v>0.20617443319212375</v>
      </c>
      <c r="AB68" t="s">
        <v>1</v>
      </c>
      <c r="AE68" t="s">
        <v>1</v>
      </c>
      <c r="AF68" t="s">
        <v>99</v>
      </c>
      <c r="AG68" s="11">
        <f t="shared" si="9"/>
        <v>0.20617443319212375</v>
      </c>
      <c r="AH68" t="s">
        <v>1</v>
      </c>
    </row>
    <row r="69" spans="1:34" x14ac:dyDescent="0.2">
      <c r="A69" t="s">
        <v>8</v>
      </c>
      <c r="B69" t="s">
        <v>100</v>
      </c>
      <c r="C69" s="11">
        <f>INDEX(PlasticsUse!$B$94:$L$111,MATCH(dataforsankey!$A69,PlasticsUse!$A$94:$A$108,0),MATCH(dataforsankey!$B69,PlasticsUse!$B$93:$L$93,0))</f>
        <v>0.24274729590067587</v>
      </c>
      <c r="G69" t="str">
        <f t="shared" si="4"/>
        <v>LDPE</v>
      </c>
      <c r="H69" t="str">
        <f t="shared" si="5"/>
        <v>Industrial/Machinery</v>
      </c>
      <c r="I69">
        <f t="shared" si="6"/>
        <v>0.24274729590067587</v>
      </c>
      <c r="J69" t="str">
        <f t="shared" si="7"/>
        <v>LDPE</v>
      </c>
      <c r="M69" t="s">
        <v>891</v>
      </c>
      <c r="N69" t="s">
        <v>69</v>
      </c>
      <c r="O69" s="11">
        <f>_xlfn.IFNA(INDEX('Imports - Products'!$B$24:$G$40,MATCH(dataforsankey!$P69,'Imports - Products'!$A$24:$A$40,0),MATCH(dataforsankey!$N69,'Imports - Products'!$B$23:$G$23,0)),0)*10^-6</f>
        <v>7.2119083034810502E-2</v>
      </c>
      <c r="P69" t="s">
        <v>1</v>
      </c>
      <c r="S69" t="s">
        <v>1</v>
      </c>
      <c r="T69" t="s">
        <v>69</v>
      </c>
      <c r="U69" s="11">
        <f t="shared" si="1"/>
        <v>0.20617443319212375</v>
      </c>
      <c r="V69" t="s">
        <v>1</v>
      </c>
      <c r="Y69" t="s">
        <v>1</v>
      </c>
      <c r="Z69" t="s">
        <v>69</v>
      </c>
      <c r="AA69" s="11">
        <f t="shared" si="8"/>
        <v>0.20617443319212375</v>
      </c>
      <c r="AB69" t="s">
        <v>1</v>
      </c>
      <c r="AE69" t="s">
        <v>1</v>
      </c>
      <c r="AF69" t="s">
        <v>69</v>
      </c>
      <c r="AG69" s="11">
        <f t="shared" si="9"/>
        <v>0.20617443319212375</v>
      </c>
      <c r="AH69" t="s">
        <v>1</v>
      </c>
    </row>
    <row r="70" spans="1:34" x14ac:dyDescent="0.2">
      <c r="A70" t="s">
        <v>8</v>
      </c>
      <c r="B70" t="s">
        <v>39</v>
      </c>
      <c r="C70" s="11">
        <f>INDEX(PlasticsUse!$B$94:$L$111,MATCH(dataforsankey!$A70,PlasticsUse!$A$94:$A$108,0),MATCH(dataforsankey!$B70,PlasticsUse!$B$93:$L$93,0))</f>
        <v>0.28918058827373766</v>
      </c>
      <c r="G70" t="str">
        <f t="shared" si="4"/>
        <v>LDPE</v>
      </c>
      <c r="H70" t="str">
        <f t="shared" si="5"/>
        <v>Packaging</v>
      </c>
      <c r="I70">
        <f t="shared" si="6"/>
        <v>0.28918058827373766</v>
      </c>
      <c r="J70" t="str">
        <f t="shared" si="7"/>
        <v>LDPE</v>
      </c>
      <c r="M70" t="s">
        <v>891</v>
      </c>
      <c r="N70" t="s">
        <v>100</v>
      </c>
      <c r="O70" s="11">
        <f>_xlfn.IFNA(INDEX('Imports - Products'!$B$24:$G$40,MATCH(dataforsankey!$P70,'Imports - Products'!$A$24:$A$40,0),MATCH(dataforsankey!$N70,'Imports - Products'!$B$23:$G$23,0)),0)*10^-6</f>
        <v>0</v>
      </c>
      <c r="P70" t="s">
        <v>1</v>
      </c>
      <c r="S70" t="s">
        <v>1</v>
      </c>
      <c r="T70" t="s">
        <v>100</v>
      </c>
      <c r="U70" s="11">
        <f t="shared" si="1"/>
        <v>0.20617443319212375</v>
      </c>
      <c r="V70" t="s">
        <v>1</v>
      </c>
      <c r="Y70" t="s">
        <v>1</v>
      </c>
      <c r="Z70" t="s">
        <v>100</v>
      </c>
      <c r="AA70" s="11">
        <f t="shared" si="8"/>
        <v>0.20617443319212375</v>
      </c>
      <c r="AB70" t="s">
        <v>1</v>
      </c>
      <c r="AE70" t="s">
        <v>1</v>
      </c>
      <c r="AF70" t="s">
        <v>100</v>
      </c>
      <c r="AG70" s="11">
        <f t="shared" si="9"/>
        <v>0.20617443319212375</v>
      </c>
      <c r="AH70" t="s">
        <v>1</v>
      </c>
    </row>
    <row r="71" spans="1:34" x14ac:dyDescent="0.2">
      <c r="A71" t="s">
        <v>8</v>
      </c>
      <c r="B71" t="s">
        <v>68</v>
      </c>
      <c r="C71" s="11">
        <f>INDEX(PlasticsUse!$B$94:$L$111,MATCH(dataforsankey!$A71,PlasticsUse!$A$94:$A$108,0),MATCH(dataforsankey!$B71,PlasticsUse!$B$93:$L$93,0))</f>
        <v>0.31864279535503576</v>
      </c>
      <c r="G71" t="str">
        <f t="shared" si="4"/>
        <v>LDPE</v>
      </c>
      <c r="H71" t="str">
        <f t="shared" si="5"/>
        <v>Electrical/Electronic</v>
      </c>
      <c r="I71">
        <f t="shared" si="6"/>
        <v>0.31864279535503576</v>
      </c>
      <c r="J71" t="str">
        <f t="shared" si="7"/>
        <v>LDPE</v>
      </c>
      <c r="M71" t="s">
        <v>891</v>
      </c>
      <c r="N71" t="s">
        <v>39</v>
      </c>
      <c r="O71" s="11">
        <f>_xlfn.IFNA(INDEX('Imports - Products'!$B$24:$G$40,MATCH(dataforsankey!$P71,'Imports - Products'!$A$24:$A$40,0),MATCH(dataforsankey!$N71,'Imports - Products'!$B$23:$G$23,0)),0)*10^-6</f>
        <v>5.6345152905670964E-2</v>
      </c>
      <c r="P71" t="s">
        <v>1</v>
      </c>
      <c r="S71" t="s">
        <v>1</v>
      </c>
      <c r="T71" t="s">
        <v>39</v>
      </c>
      <c r="U71" s="11">
        <f t="shared" si="1"/>
        <v>0.20617443319212375</v>
      </c>
      <c r="V71" t="s">
        <v>1</v>
      </c>
      <c r="Y71" t="s">
        <v>1</v>
      </c>
      <c r="Z71" t="s">
        <v>39</v>
      </c>
      <c r="AA71" s="11">
        <f t="shared" si="8"/>
        <v>0.20617443319212375</v>
      </c>
      <c r="AB71" t="s">
        <v>1</v>
      </c>
      <c r="AE71" t="s">
        <v>1</v>
      </c>
      <c r="AF71" t="s">
        <v>39</v>
      </c>
      <c r="AG71" s="11">
        <f t="shared" si="9"/>
        <v>0.20617443319212375</v>
      </c>
      <c r="AH71" t="s">
        <v>1</v>
      </c>
    </row>
    <row r="72" spans="1:34" x14ac:dyDescent="0.2">
      <c r="A72" t="s">
        <v>8</v>
      </c>
      <c r="B72" t="s">
        <v>91</v>
      </c>
      <c r="C72" s="11" t="e">
        <f>INDEX(PlasticsUse!$B$94:$L$111,MATCH(dataforsankey!$A72,PlasticsUse!$A$94:$A$108,0),MATCH(dataforsankey!$B72,PlasticsUse!$B$93:$L$93,0))</f>
        <v>#N/A</v>
      </c>
      <c r="G72" t="str">
        <f t="shared" si="4"/>
        <v>LDPE</v>
      </c>
      <c r="H72" t="str">
        <f t="shared" si="5"/>
        <v>Consumer and Insitutional</v>
      </c>
      <c r="I72" t="e">
        <f t="shared" si="6"/>
        <v>#N/A</v>
      </c>
      <c r="J72" t="str">
        <f t="shared" si="7"/>
        <v>LDPE</v>
      </c>
      <c r="M72" t="s">
        <v>891</v>
      </c>
      <c r="N72" t="s">
        <v>68</v>
      </c>
      <c r="O72" s="11">
        <f>_xlfn.IFNA(INDEX('Imports - Products'!$B$24:$G$40,MATCH(dataforsankey!$P72,'Imports - Products'!$A$24:$A$40,0),MATCH(dataforsankey!$N72,'Imports - Products'!$B$23:$G$23,0)),0)*10^-6</f>
        <v>9.2096495920437713E-2</v>
      </c>
      <c r="P72" t="s">
        <v>1</v>
      </c>
      <c r="S72" t="s">
        <v>1</v>
      </c>
      <c r="T72" t="s">
        <v>68</v>
      </c>
      <c r="U72" s="11">
        <f t="shared" si="1"/>
        <v>0.20617443319212375</v>
      </c>
      <c r="V72" t="s">
        <v>1</v>
      </c>
      <c r="Y72" t="s">
        <v>1</v>
      </c>
      <c r="Z72" t="s">
        <v>68</v>
      </c>
      <c r="AA72" s="11">
        <f t="shared" si="8"/>
        <v>0.20617443319212375</v>
      </c>
      <c r="AB72" t="s">
        <v>1</v>
      </c>
      <c r="AE72" t="s">
        <v>1</v>
      </c>
      <c r="AF72" t="s">
        <v>68</v>
      </c>
      <c r="AG72" s="11">
        <f t="shared" si="9"/>
        <v>0.20617443319212375</v>
      </c>
      <c r="AH72" t="s">
        <v>1</v>
      </c>
    </row>
    <row r="73" spans="1:34" x14ac:dyDescent="0.2">
      <c r="A73" t="s">
        <v>8</v>
      </c>
      <c r="B73" t="s">
        <v>92</v>
      </c>
      <c r="C73" s="11">
        <f>INDEX(PlasticsUse!$B$94:$L$111,MATCH(dataforsankey!$A73,PlasticsUse!$A$94:$A$108,0),MATCH(dataforsankey!$B73,PlasticsUse!$B$93:$L$93,0))</f>
        <v>0.24274729590067587</v>
      </c>
      <c r="G73" t="str">
        <f t="shared" si="4"/>
        <v>LDPE</v>
      </c>
      <c r="H73" t="str">
        <f t="shared" si="5"/>
        <v>Adhesives/Inks/Coatings</v>
      </c>
      <c r="I73">
        <f t="shared" si="6"/>
        <v>0.24274729590067587</v>
      </c>
      <c r="J73" t="str">
        <f t="shared" si="7"/>
        <v>LDPE</v>
      </c>
      <c r="M73" t="s">
        <v>891</v>
      </c>
      <c r="N73" t="s">
        <v>63</v>
      </c>
      <c r="O73" s="11">
        <f>_xlfn.IFNA(INDEX('Imports - Products'!$B$24:$G$40,MATCH(dataforsankey!$P73,'Imports - Products'!$A$24:$A$40,0),MATCH(dataforsankey!$N73,'Imports - Products'!$B$23:$G$23,0)),0)*10^-6</f>
        <v>3.4555582634421933E-2</v>
      </c>
      <c r="P73" t="s">
        <v>1</v>
      </c>
      <c r="S73" t="s">
        <v>1</v>
      </c>
      <c r="T73" t="s">
        <v>63</v>
      </c>
      <c r="U73" s="11">
        <f t="shared" si="1"/>
        <v>0.20617443319212375</v>
      </c>
      <c r="V73" t="s">
        <v>1</v>
      </c>
      <c r="Y73" t="s">
        <v>1</v>
      </c>
      <c r="Z73" t="s">
        <v>63</v>
      </c>
      <c r="AA73" s="11">
        <f t="shared" si="8"/>
        <v>0.20617443319212375</v>
      </c>
      <c r="AB73" t="s">
        <v>1</v>
      </c>
      <c r="AE73" t="s">
        <v>1</v>
      </c>
      <c r="AF73" t="s">
        <v>63</v>
      </c>
      <c r="AG73" s="11">
        <f t="shared" si="9"/>
        <v>0.20617443319212375</v>
      </c>
      <c r="AH73" t="s">
        <v>1</v>
      </c>
    </row>
    <row r="74" spans="1:34" x14ac:dyDescent="0.2">
      <c r="A74" t="s">
        <v>8</v>
      </c>
      <c r="B74" t="s">
        <v>103</v>
      </c>
      <c r="C74" s="11">
        <f>INDEX(PlasticsUse!$B$94:$L$111,MATCH(dataforsankey!$A74,PlasticsUse!$A$94:$A$108,0),MATCH(dataforsankey!$B74,PlasticsUse!$B$93:$L$93,0))</f>
        <v>0</v>
      </c>
      <c r="G74" t="str">
        <f t="shared" si="4"/>
        <v>LDPE</v>
      </c>
      <c r="H74" t="str">
        <f t="shared" si="5"/>
        <v>Textiles, Fibers and Apparel</v>
      </c>
      <c r="I74">
        <f t="shared" si="6"/>
        <v>0</v>
      </c>
      <c r="J74" t="str">
        <f t="shared" si="7"/>
        <v>LDPE</v>
      </c>
      <c r="M74" t="s">
        <v>891</v>
      </c>
      <c r="N74" t="s">
        <v>92</v>
      </c>
      <c r="O74" s="11">
        <f>_xlfn.IFNA(INDEX('Imports - Products'!$B$24:$G$40,MATCH(dataforsankey!$P74,'Imports - Products'!$A$24:$A$40,0),MATCH(dataforsankey!$N74,'Imports - Products'!$B$23:$G$23,0)),0)*10^-6</f>
        <v>0</v>
      </c>
      <c r="P74" t="s">
        <v>1</v>
      </c>
      <c r="S74" t="s">
        <v>1</v>
      </c>
      <c r="T74" t="s">
        <v>92</v>
      </c>
      <c r="U74" s="11">
        <f t="shared" si="1"/>
        <v>0.20617443319212375</v>
      </c>
      <c r="V74" t="s">
        <v>1</v>
      </c>
      <c r="Y74" t="s">
        <v>1</v>
      </c>
      <c r="Z74" t="s">
        <v>92</v>
      </c>
      <c r="AA74" s="11">
        <f t="shared" si="8"/>
        <v>0.20617443319212375</v>
      </c>
      <c r="AB74" t="s">
        <v>1</v>
      </c>
      <c r="AE74" t="s">
        <v>1</v>
      </c>
      <c r="AF74" t="s">
        <v>92</v>
      </c>
      <c r="AG74" s="11">
        <f t="shared" si="9"/>
        <v>0.20617443319212375</v>
      </c>
      <c r="AH74" t="s">
        <v>1</v>
      </c>
    </row>
    <row r="75" spans="1:34" x14ac:dyDescent="0.2">
      <c r="A75" t="s">
        <v>8</v>
      </c>
      <c r="B75" t="s">
        <v>86</v>
      </c>
      <c r="C75" s="11">
        <f>INDEX(PlasticsUse!$B$94:$L$111,MATCH(dataforsankey!$A75,PlasticsUse!$A$94:$A$108,0),MATCH(dataforsankey!$B75,PlasticsUse!$B$93:$L$93,0))</f>
        <v>0.24274729590067587</v>
      </c>
      <c r="G75" t="str">
        <f t="shared" si="4"/>
        <v>LDPE</v>
      </c>
      <c r="H75" t="str">
        <f t="shared" si="5"/>
        <v>Other End Use Markets</v>
      </c>
      <c r="I75">
        <f t="shared" si="6"/>
        <v>0.24274729590067587</v>
      </c>
      <c r="J75" t="str">
        <f t="shared" si="7"/>
        <v>LDPE</v>
      </c>
      <c r="M75" t="s">
        <v>891</v>
      </c>
      <c r="N75" t="s">
        <v>103</v>
      </c>
      <c r="O75" s="11">
        <f>_xlfn.IFNA(INDEX('Imports - Products'!$B$24:$G$40,MATCH(dataforsankey!$P75,'Imports - Products'!$A$24:$A$40,0),MATCH(dataforsankey!$N75,'Imports - Products'!$B$23:$G$23,0)),0)*10^-6</f>
        <v>0</v>
      </c>
      <c r="P75" t="s">
        <v>1</v>
      </c>
      <c r="S75" t="s">
        <v>1</v>
      </c>
      <c r="T75" t="s">
        <v>103</v>
      </c>
      <c r="U75" s="11">
        <f t="shared" si="1"/>
        <v>0</v>
      </c>
      <c r="V75" t="s">
        <v>1</v>
      </c>
      <c r="Y75" t="s">
        <v>1</v>
      </c>
      <c r="Z75" t="s">
        <v>103</v>
      </c>
      <c r="AA75" s="11">
        <f t="shared" si="8"/>
        <v>0</v>
      </c>
      <c r="AB75" t="s">
        <v>1</v>
      </c>
      <c r="AE75" t="s">
        <v>1</v>
      </c>
      <c r="AF75" t="s">
        <v>103</v>
      </c>
      <c r="AG75" s="11">
        <f t="shared" si="9"/>
        <v>0</v>
      </c>
      <c r="AH75" t="s">
        <v>1</v>
      </c>
    </row>
    <row r="76" spans="1:34" x14ac:dyDescent="0.2">
      <c r="A76" t="s">
        <v>8</v>
      </c>
      <c r="B76" t="s">
        <v>18</v>
      </c>
      <c r="C76" s="11">
        <f>INDEX(PlasticsUse!$B$94:$L$111,MATCH(dataforsankey!$A76,PlasticsUse!$A$94:$A$108,0),MATCH(dataforsankey!$B76,PlasticsUse!$B$93:$L$93,0))</f>
        <v>0.24274729590067587</v>
      </c>
      <c r="G76" t="str">
        <f t="shared" si="4"/>
        <v>LDPE</v>
      </c>
      <c r="H76" t="str">
        <f t="shared" si="5"/>
        <v>Exports</v>
      </c>
      <c r="I76">
        <f t="shared" si="6"/>
        <v>0.24274729590067587</v>
      </c>
      <c r="J76" t="str">
        <f t="shared" si="7"/>
        <v>LDPE</v>
      </c>
      <c r="M76" t="s">
        <v>891</v>
      </c>
      <c r="N76" t="s">
        <v>86</v>
      </c>
      <c r="O76" s="11">
        <f>_xlfn.IFNA(INDEX('Imports - Products'!$B$24:$G$40,MATCH(dataforsankey!$P76,'Imports - Products'!$A$24:$A$40,0),MATCH(dataforsankey!$N76,'Imports - Products'!$B$23:$G$23,0)),0)*10^-6</f>
        <v>0</v>
      </c>
      <c r="P76" t="s">
        <v>1</v>
      </c>
      <c r="S76" t="s">
        <v>1</v>
      </c>
      <c r="T76" t="s">
        <v>86</v>
      </c>
      <c r="U76" s="11">
        <f t="shared" si="1"/>
        <v>0.20617443319212375</v>
      </c>
      <c r="V76" t="s">
        <v>1</v>
      </c>
      <c r="Y76" t="s">
        <v>1</v>
      </c>
      <c r="Z76" t="s">
        <v>86</v>
      </c>
      <c r="AA76" s="11">
        <f t="shared" si="8"/>
        <v>0.20617443319212375</v>
      </c>
      <c r="AB76" t="s">
        <v>1</v>
      </c>
      <c r="AE76" t="s">
        <v>1</v>
      </c>
      <c r="AF76" t="s">
        <v>86</v>
      </c>
      <c r="AG76" s="11">
        <f t="shared" si="9"/>
        <v>0.20617443319212375</v>
      </c>
      <c r="AH76" t="s">
        <v>1</v>
      </c>
    </row>
    <row r="77" spans="1:34" x14ac:dyDescent="0.2">
      <c r="A77" t="s">
        <v>19</v>
      </c>
      <c r="B77" t="s">
        <v>38</v>
      </c>
      <c r="C77" s="11">
        <f>INDEX(PlasticsUse!$B$94:$L$111,MATCH(dataforsankey!$A77,PlasticsUse!$A$94:$A$108,0),MATCH(dataforsankey!$B77,PlasticsUse!$B$93:$L$93,0))</f>
        <v>0.21063672995577348</v>
      </c>
      <c r="G77" t="str">
        <f t="shared" si="4"/>
        <v>LLDPE</v>
      </c>
      <c r="H77" t="str">
        <f t="shared" si="5"/>
        <v>Building and Construction</v>
      </c>
      <c r="I77">
        <f t="shared" si="6"/>
        <v>0.21063672995577348</v>
      </c>
      <c r="J77" t="str">
        <f t="shared" si="7"/>
        <v>LLDPE</v>
      </c>
      <c r="M77" t="s">
        <v>891</v>
      </c>
      <c r="N77" t="s">
        <v>18</v>
      </c>
      <c r="O77" s="11">
        <f>_xlfn.IFNA(INDEX('Imports - Products'!$B$24:$G$40,MATCH(dataforsankey!$P77,'Imports - Products'!$A$24:$A$40,0),MATCH(dataforsankey!$N77,'Imports - Products'!$B$23:$G$23,0)),0)*10^-6</f>
        <v>0</v>
      </c>
      <c r="P77" t="s">
        <v>1</v>
      </c>
      <c r="S77" t="s">
        <v>1</v>
      </c>
      <c r="T77" t="s">
        <v>18</v>
      </c>
      <c r="U77" s="11">
        <f t="shared" si="1"/>
        <v>0.20617443319212375</v>
      </c>
      <c r="V77" t="s">
        <v>1</v>
      </c>
      <c r="Y77" t="s">
        <v>1</v>
      </c>
      <c r="Z77" t="s">
        <v>18</v>
      </c>
      <c r="AA77" s="11">
        <f t="shared" si="8"/>
        <v>0.20617443319212375</v>
      </c>
      <c r="AB77" t="s">
        <v>1</v>
      </c>
      <c r="AE77" t="s">
        <v>1</v>
      </c>
      <c r="AF77" t="s">
        <v>18</v>
      </c>
      <c r="AG77" s="11">
        <f t="shared" si="9"/>
        <v>0.20617443319212375</v>
      </c>
      <c r="AH77" t="s">
        <v>1</v>
      </c>
    </row>
    <row r="78" spans="1:34" x14ac:dyDescent="0.2">
      <c r="A78" t="s">
        <v>19</v>
      </c>
      <c r="B78" t="s">
        <v>99</v>
      </c>
      <c r="C78" s="11">
        <f>INDEX(PlasticsUse!$B$94:$L$111,MATCH(dataforsankey!$A78,PlasticsUse!$A$94:$A$108,0),MATCH(dataforsankey!$B78,PlasticsUse!$B$93:$L$93,0))</f>
        <v>0.23545865712336767</v>
      </c>
      <c r="G78" t="str">
        <f t="shared" si="4"/>
        <v>LLDPE</v>
      </c>
      <c r="H78" t="str">
        <f t="shared" si="5"/>
        <v>Furniture and Furnishings</v>
      </c>
      <c r="I78">
        <f t="shared" si="6"/>
        <v>0.23545865712336767</v>
      </c>
      <c r="J78" t="str">
        <f t="shared" si="7"/>
        <v>LLDPE</v>
      </c>
      <c r="M78" t="s">
        <v>891</v>
      </c>
      <c r="N78" t="s">
        <v>38</v>
      </c>
      <c r="O78" s="11">
        <f>_xlfn.IFNA(INDEX('Imports - Products'!$B$24:$G$40,MATCH(dataforsankey!$P78,'Imports - Products'!$A$24:$A$40,0),MATCH(dataforsankey!$N78,'Imports - Products'!$B$23:$G$23,0)),0)*10^-6</f>
        <v>0</v>
      </c>
      <c r="P78" t="s">
        <v>10</v>
      </c>
      <c r="S78" t="s">
        <v>10</v>
      </c>
      <c r="T78" t="s">
        <v>38</v>
      </c>
      <c r="U78" s="11">
        <f t="shared" si="1"/>
        <v>0.20617443319212375</v>
      </c>
      <c r="V78" t="s">
        <v>10</v>
      </c>
      <c r="Y78" t="s">
        <v>10</v>
      </c>
      <c r="Z78" t="s">
        <v>38</v>
      </c>
      <c r="AA78" s="11">
        <f t="shared" si="8"/>
        <v>0.20617443319212375</v>
      </c>
      <c r="AB78" t="s">
        <v>10</v>
      </c>
      <c r="AE78" t="s">
        <v>10</v>
      </c>
      <c r="AF78" t="s">
        <v>38</v>
      </c>
      <c r="AG78" s="11">
        <f t="shared" si="9"/>
        <v>0.20617443319212375</v>
      </c>
      <c r="AH78" t="s">
        <v>10</v>
      </c>
    </row>
    <row r="79" spans="1:34" x14ac:dyDescent="0.2">
      <c r="A79" t="s">
        <v>19</v>
      </c>
      <c r="B79" t="s">
        <v>69</v>
      </c>
      <c r="C79" s="11">
        <f>INDEX(PlasticsUse!$B$94:$L$111,MATCH(dataforsankey!$A79,PlasticsUse!$A$94:$A$108,0),MATCH(dataforsankey!$B79,PlasticsUse!$B$93:$L$93,0))</f>
        <v>0.26220740499462103</v>
      </c>
      <c r="G79" t="str">
        <f t="shared" si="4"/>
        <v>LLDPE</v>
      </c>
      <c r="H79" t="str">
        <f t="shared" si="5"/>
        <v>Transportation</v>
      </c>
      <c r="I79">
        <f t="shared" si="6"/>
        <v>0.26220740499462103</v>
      </c>
      <c r="J79" t="str">
        <f t="shared" si="7"/>
        <v>LLDPE</v>
      </c>
      <c r="M79" t="s">
        <v>891</v>
      </c>
      <c r="N79" t="s">
        <v>99</v>
      </c>
      <c r="O79" s="11">
        <f>_xlfn.IFNA(INDEX('Imports - Products'!$B$24:$G$40,MATCH(dataforsankey!$P79,'Imports - Products'!$A$24:$A$40,0),MATCH(dataforsankey!$N79,'Imports - Products'!$B$23:$G$23,0)),0)*10^-6</f>
        <v>2.6701397680935712E-2</v>
      </c>
      <c r="P79" t="s">
        <v>10</v>
      </c>
      <c r="S79" t="s">
        <v>10</v>
      </c>
      <c r="T79" t="s">
        <v>99</v>
      </c>
      <c r="U79" s="11">
        <f t="shared" si="1"/>
        <v>0.20617443319212375</v>
      </c>
      <c r="V79" t="s">
        <v>10</v>
      </c>
      <c r="Y79" t="s">
        <v>10</v>
      </c>
      <c r="Z79" t="s">
        <v>99</v>
      </c>
      <c r="AA79" s="11">
        <f t="shared" si="8"/>
        <v>0.20617443319212375</v>
      </c>
      <c r="AB79" t="s">
        <v>10</v>
      </c>
      <c r="AE79" t="s">
        <v>10</v>
      </c>
      <c r="AF79" t="s">
        <v>99</v>
      </c>
      <c r="AG79" s="11">
        <f t="shared" si="9"/>
        <v>0.20617443319212375</v>
      </c>
      <c r="AH79" t="s">
        <v>10</v>
      </c>
    </row>
    <row r="80" spans="1:34" x14ac:dyDescent="0.2">
      <c r="A80" t="s">
        <v>19</v>
      </c>
      <c r="B80" t="s">
        <v>100</v>
      </c>
      <c r="C80" s="11">
        <f>INDEX(PlasticsUse!$B$94:$L$111,MATCH(dataforsankey!$A80,PlasticsUse!$A$94:$A$108,0),MATCH(dataforsankey!$B80,PlasticsUse!$B$93:$L$93,0))</f>
        <v>0.21063672995577348</v>
      </c>
      <c r="G80" t="str">
        <f t="shared" si="4"/>
        <v>LLDPE</v>
      </c>
      <c r="H80" t="str">
        <f t="shared" si="5"/>
        <v>Industrial/Machinery</v>
      </c>
      <c r="I80">
        <f t="shared" si="6"/>
        <v>0.21063672995577348</v>
      </c>
      <c r="J80" t="str">
        <f t="shared" si="7"/>
        <v>LLDPE</v>
      </c>
      <c r="M80" t="s">
        <v>891</v>
      </c>
      <c r="N80" t="s">
        <v>69</v>
      </c>
      <c r="O80" s="11">
        <f>_xlfn.IFNA(INDEX('Imports - Products'!$B$24:$G$40,MATCH(dataforsankey!$P80,'Imports - Products'!$A$24:$A$40,0),MATCH(dataforsankey!$N80,'Imports - Products'!$B$23:$G$23,0)),0)*10^-6</f>
        <v>5.5475511373037238E-2</v>
      </c>
      <c r="P80" t="s">
        <v>10</v>
      </c>
      <c r="S80" t="s">
        <v>10</v>
      </c>
      <c r="T80" t="s">
        <v>69</v>
      </c>
      <c r="U80" s="11">
        <f t="shared" si="1"/>
        <v>0.20617443319212375</v>
      </c>
      <c r="V80" t="s">
        <v>10</v>
      </c>
      <c r="Y80" t="s">
        <v>10</v>
      </c>
      <c r="Z80" t="s">
        <v>69</v>
      </c>
      <c r="AA80" s="11">
        <f t="shared" si="8"/>
        <v>0.20617443319212375</v>
      </c>
      <c r="AB80" t="s">
        <v>10</v>
      </c>
      <c r="AE80" t="s">
        <v>10</v>
      </c>
      <c r="AF80" t="s">
        <v>69</v>
      </c>
      <c r="AG80" s="11">
        <f t="shared" si="9"/>
        <v>0.20617443319212375</v>
      </c>
      <c r="AH80" t="s">
        <v>10</v>
      </c>
    </row>
    <row r="81" spans="1:34" x14ac:dyDescent="0.2">
      <c r="A81" t="s">
        <v>19</v>
      </c>
      <c r="B81" t="s">
        <v>39</v>
      </c>
      <c r="C81" s="11">
        <f>INDEX(PlasticsUse!$B$94:$L$111,MATCH(dataforsankey!$A81,PlasticsUse!$A$94:$A$108,0),MATCH(dataforsankey!$B81,PlasticsUse!$B$93:$L$93,0))</f>
        <v>0.2509278352809754</v>
      </c>
      <c r="G81" t="str">
        <f t="shared" si="4"/>
        <v>LLDPE</v>
      </c>
      <c r="H81" t="str">
        <f t="shared" si="5"/>
        <v>Packaging</v>
      </c>
      <c r="I81">
        <f t="shared" si="6"/>
        <v>0.2509278352809754</v>
      </c>
      <c r="J81" t="str">
        <f t="shared" si="7"/>
        <v>LLDPE</v>
      </c>
      <c r="M81" t="s">
        <v>891</v>
      </c>
      <c r="N81" t="s">
        <v>100</v>
      </c>
      <c r="O81" s="11">
        <f>_xlfn.IFNA(INDEX('Imports - Products'!$B$24:$G$40,MATCH(dataforsankey!$P81,'Imports - Products'!$A$24:$A$40,0),MATCH(dataforsankey!$N81,'Imports - Products'!$B$23:$G$23,0)),0)*10^-6</f>
        <v>0</v>
      </c>
      <c r="P81" t="s">
        <v>10</v>
      </c>
      <c r="S81" t="s">
        <v>10</v>
      </c>
      <c r="T81" t="s">
        <v>100</v>
      </c>
      <c r="U81" s="11">
        <f t="shared" si="1"/>
        <v>0.20617443319212375</v>
      </c>
      <c r="V81" t="s">
        <v>10</v>
      </c>
      <c r="Y81" t="s">
        <v>10</v>
      </c>
      <c r="Z81" t="s">
        <v>100</v>
      </c>
      <c r="AA81" s="11">
        <f t="shared" si="8"/>
        <v>0.20617443319212375</v>
      </c>
      <c r="AB81" t="s">
        <v>10</v>
      </c>
      <c r="AE81" t="s">
        <v>10</v>
      </c>
      <c r="AF81" t="s">
        <v>100</v>
      </c>
      <c r="AG81" s="11">
        <f t="shared" si="9"/>
        <v>0.20617443319212375</v>
      </c>
      <c r="AH81" t="s">
        <v>10</v>
      </c>
    </row>
    <row r="82" spans="1:34" x14ac:dyDescent="0.2">
      <c r="A82" t="s">
        <v>19</v>
      </c>
      <c r="B82" t="s">
        <v>68</v>
      </c>
      <c r="C82" s="11">
        <f>INDEX(PlasticsUse!$B$94:$L$111,MATCH(dataforsankey!$A82,PlasticsUse!$A$94:$A$108,0),MATCH(dataforsankey!$B82,PlasticsUse!$B$93:$L$93,0))</f>
        <v>0.27649278723588283</v>
      </c>
      <c r="G82" t="str">
        <f t="shared" si="4"/>
        <v>LLDPE</v>
      </c>
      <c r="H82" t="str">
        <f t="shared" si="5"/>
        <v>Electrical/Electronic</v>
      </c>
      <c r="I82">
        <f t="shared" si="6"/>
        <v>0.27649278723588283</v>
      </c>
      <c r="J82" t="str">
        <f t="shared" si="7"/>
        <v>LLDPE</v>
      </c>
      <c r="M82" t="s">
        <v>891</v>
      </c>
      <c r="N82" t="s">
        <v>39</v>
      </c>
      <c r="O82" s="11">
        <f>_xlfn.IFNA(INDEX('Imports - Products'!$B$24:$G$40,MATCH(dataforsankey!$P82,'Imports - Products'!$A$24:$A$40,0),MATCH(dataforsankey!$N82,'Imports - Products'!$B$23:$G$23,0)),0)*10^-6</f>
        <v>4.3341873458448157E-2</v>
      </c>
      <c r="P82" t="s">
        <v>10</v>
      </c>
      <c r="S82" t="s">
        <v>10</v>
      </c>
      <c r="T82" t="s">
        <v>39</v>
      </c>
      <c r="U82" s="11">
        <f t="shared" si="1"/>
        <v>0.20617443319212375</v>
      </c>
      <c r="V82" t="s">
        <v>10</v>
      </c>
      <c r="Y82" t="s">
        <v>10</v>
      </c>
      <c r="Z82" t="s">
        <v>39</v>
      </c>
      <c r="AA82" s="11">
        <f t="shared" si="8"/>
        <v>0.20617443319212375</v>
      </c>
      <c r="AB82" t="s">
        <v>10</v>
      </c>
      <c r="AE82" t="s">
        <v>10</v>
      </c>
      <c r="AF82" t="s">
        <v>39</v>
      </c>
      <c r="AG82" s="11">
        <f t="shared" si="9"/>
        <v>0.20617443319212375</v>
      </c>
      <c r="AH82" t="s">
        <v>10</v>
      </c>
    </row>
    <row r="83" spans="1:34" x14ac:dyDescent="0.2">
      <c r="A83" t="s">
        <v>19</v>
      </c>
      <c r="B83" t="s">
        <v>91</v>
      </c>
      <c r="C83" s="11" t="e">
        <f>INDEX(PlasticsUse!$B$94:$L$111,MATCH(dataforsankey!$A83,PlasticsUse!$A$94:$A$108,0),MATCH(dataforsankey!$B83,PlasticsUse!$B$93:$L$93,0))</f>
        <v>#N/A</v>
      </c>
      <c r="G83" t="str">
        <f t="shared" si="4"/>
        <v>LLDPE</v>
      </c>
      <c r="H83" t="str">
        <f t="shared" si="5"/>
        <v>Consumer and Insitutional</v>
      </c>
      <c r="I83" t="e">
        <f t="shared" si="6"/>
        <v>#N/A</v>
      </c>
      <c r="J83" t="str">
        <f t="shared" si="7"/>
        <v>LLDPE</v>
      </c>
      <c r="M83" t="s">
        <v>891</v>
      </c>
      <c r="N83" t="s">
        <v>68</v>
      </c>
      <c r="O83" s="11">
        <f>_xlfn.IFNA(INDEX('Imports - Products'!$B$24:$G$40,MATCH(dataforsankey!$P83,'Imports - Products'!$A$24:$A$40,0),MATCH(dataforsankey!$N83,'Imports - Products'!$B$23:$G$23,0)),0)*10^-6</f>
        <v>7.0842556392252717E-2</v>
      </c>
      <c r="P83" t="s">
        <v>10</v>
      </c>
      <c r="S83" t="s">
        <v>10</v>
      </c>
      <c r="T83" t="s">
        <v>68</v>
      </c>
      <c r="U83" s="11">
        <f t="shared" si="1"/>
        <v>0.20617443319212375</v>
      </c>
      <c r="V83" t="s">
        <v>10</v>
      </c>
      <c r="Y83" t="s">
        <v>10</v>
      </c>
      <c r="Z83" t="s">
        <v>68</v>
      </c>
      <c r="AA83" s="11">
        <f t="shared" si="8"/>
        <v>0.20617443319212375</v>
      </c>
      <c r="AB83" t="s">
        <v>10</v>
      </c>
      <c r="AE83" t="s">
        <v>10</v>
      </c>
      <c r="AF83" t="s">
        <v>68</v>
      </c>
      <c r="AG83" s="11">
        <f t="shared" si="9"/>
        <v>0.20617443319212375</v>
      </c>
      <c r="AH83" t="s">
        <v>10</v>
      </c>
    </row>
    <row r="84" spans="1:34" x14ac:dyDescent="0.2">
      <c r="A84" t="s">
        <v>19</v>
      </c>
      <c r="B84" t="s">
        <v>92</v>
      </c>
      <c r="C84" s="11">
        <f>INDEX(PlasticsUse!$B$94:$L$111,MATCH(dataforsankey!$A84,PlasticsUse!$A$94:$A$108,0),MATCH(dataforsankey!$B84,PlasticsUse!$B$93:$L$93,0))</f>
        <v>0.21063672995577348</v>
      </c>
      <c r="G84" t="str">
        <f t="shared" si="4"/>
        <v>LLDPE</v>
      </c>
      <c r="H84" t="str">
        <f t="shared" si="5"/>
        <v>Adhesives/Inks/Coatings</v>
      </c>
      <c r="I84">
        <f t="shared" si="6"/>
        <v>0.21063672995577348</v>
      </c>
      <c r="J84" t="str">
        <f t="shared" si="7"/>
        <v>LLDPE</v>
      </c>
      <c r="M84" t="s">
        <v>891</v>
      </c>
      <c r="N84" t="s">
        <v>63</v>
      </c>
      <c r="O84" s="11">
        <f>_xlfn.IFNA(INDEX('Imports - Products'!$B$24:$G$40,MATCH(dataforsankey!$P84,'Imports - Products'!$A$24:$A$40,0),MATCH(dataforsankey!$N84,'Imports - Products'!$B$23:$G$23,0)),0)*10^-6</f>
        <v>2.6580878968088213E-2</v>
      </c>
      <c r="P84" t="s">
        <v>10</v>
      </c>
      <c r="S84" t="s">
        <v>10</v>
      </c>
      <c r="T84" t="s">
        <v>63</v>
      </c>
      <c r="U84" s="11">
        <f t="shared" si="1"/>
        <v>0.20617443319212375</v>
      </c>
      <c r="V84" t="s">
        <v>10</v>
      </c>
      <c r="Y84" t="s">
        <v>10</v>
      </c>
      <c r="Z84" t="s">
        <v>63</v>
      </c>
      <c r="AA84" s="11">
        <f t="shared" si="8"/>
        <v>0.20617443319212375</v>
      </c>
      <c r="AB84" t="s">
        <v>10</v>
      </c>
      <c r="AE84" t="s">
        <v>10</v>
      </c>
      <c r="AF84" t="s">
        <v>63</v>
      </c>
      <c r="AG84" s="11">
        <f t="shared" si="9"/>
        <v>0.20617443319212375</v>
      </c>
      <c r="AH84" t="s">
        <v>10</v>
      </c>
    </row>
    <row r="85" spans="1:34" x14ac:dyDescent="0.2">
      <c r="A85" t="s">
        <v>19</v>
      </c>
      <c r="B85" t="s">
        <v>103</v>
      </c>
      <c r="C85" s="11">
        <f>INDEX(PlasticsUse!$B$94:$L$111,MATCH(dataforsankey!$A85,PlasticsUse!$A$94:$A$108,0),MATCH(dataforsankey!$B85,PlasticsUse!$B$93:$L$93,0))</f>
        <v>0</v>
      </c>
      <c r="G85" t="str">
        <f t="shared" si="4"/>
        <v>LLDPE</v>
      </c>
      <c r="H85" t="str">
        <f t="shared" si="5"/>
        <v>Textiles, Fibers and Apparel</v>
      </c>
      <c r="I85">
        <f t="shared" si="6"/>
        <v>0</v>
      </c>
      <c r="J85" t="str">
        <f t="shared" si="7"/>
        <v>LLDPE</v>
      </c>
      <c r="M85" t="s">
        <v>891</v>
      </c>
      <c r="N85" t="s">
        <v>92</v>
      </c>
      <c r="O85" s="11">
        <f>_xlfn.IFNA(INDEX('Imports - Products'!$B$24:$G$40,MATCH(dataforsankey!$P85,'Imports - Products'!$A$24:$A$40,0),MATCH(dataforsankey!$N85,'Imports - Products'!$B$23:$G$23,0)),0)*10^-6</f>
        <v>0</v>
      </c>
      <c r="P85" t="s">
        <v>10</v>
      </c>
      <c r="S85" t="s">
        <v>10</v>
      </c>
      <c r="T85" t="s">
        <v>92</v>
      </c>
      <c r="U85" s="11">
        <f t="shared" si="1"/>
        <v>0.20617443319212375</v>
      </c>
      <c r="V85" t="s">
        <v>10</v>
      </c>
      <c r="Y85" t="s">
        <v>10</v>
      </c>
      <c r="Z85" t="s">
        <v>92</v>
      </c>
      <c r="AA85" s="11">
        <f t="shared" si="8"/>
        <v>0.20617443319212375</v>
      </c>
      <c r="AB85" t="s">
        <v>10</v>
      </c>
      <c r="AE85" t="s">
        <v>10</v>
      </c>
      <c r="AF85" t="s">
        <v>92</v>
      </c>
      <c r="AG85" s="11">
        <f t="shared" si="9"/>
        <v>0.20617443319212375</v>
      </c>
      <c r="AH85" t="s">
        <v>10</v>
      </c>
    </row>
    <row r="86" spans="1:34" x14ac:dyDescent="0.2">
      <c r="A86" t="s">
        <v>19</v>
      </c>
      <c r="B86" t="s">
        <v>86</v>
      </c>
      <c r="C86" s="11">
        <f>INDEX(PlasticsUse!$B$94:$L$111,MATCH(dataforsankey!$A86,PlasticsUse!$A$94:$A$108,0),MATCH(dataforsankey!$B86,PlasticsUse!$B$93:$L$93,0))</f>
        <v>0.21063672995577348</v>
      </c>
      <c r="G86" t="str">
        <f t="shared" si="4"/>
        <v>LLDPE</v>
      </c>
      <c r="H86" t="str">
        <f t="shared" si="5"/>
        <v>Other End Use Markets</v>
      </c>
      <c r="I86">
        <f t="shared" si="6"/>
        <v>0.21063672995577348</v>
      </c>
      <c r="J86" t="str">
        <f t="shared" si="7"/>
        <v>LLDPE</v>
      </c>
      <c r="M86" t="s">
        <v>891</v>
      </c>
      <c r="N86" t="s">
        <v>103</v>
      </c>
      <c r="O86" s="11">
        <f>_xlfn.IFNA(INDEX('Imports - Products'!$B$24:$G$40,MATCH(dataforsankey!$P86,'Imports - Products'!$A$24:$A$40,0),MATCH(dataforsankey!$N86,'Imports - Products'!$B$23:$G$23,0)),0)*10^-6</f>
        <v>0</v>
      </c>
      <c r="P86" t="s">
        <v>10</v>
      </c>
      <c r="S86" t="s">
        <v>10</v>
      </c>
      <c r="T86" t="s">
        <v>103</v>
      </c>
      <c r="U86" s="11">
        <f t="shared" si="1"/>
        <v>0</v>
      </c>
      <c r="V86" t="s">
        <v>10</v>
      </c>
      <c r="Y86" t="s">
        <v>10</v>
      </c>
      <c r="Z86" t="s">
        <v>103</v>
      </c>
      <c r="AA86" s="11">
        <f t="shared" si="8"/>
        <v>0</v>
      </c>
      <c r="AB86" t="s">
        <v>10</v>
      </c>
      <c r="AE86" t="s">
        <v>10</v>
      </c>
      <c r="AF86" t="s">
        <v>103</v>
      </c>
      <c r="AG86" s="11">
        <f t="shared" si="9"/>
        <v>0</v>
      </c>
      <c r="AH86" t="s">
        <v>10</v>
      </c>
    </row>
    <row r="87" spans="1:34" x14ac:dyDescent="0.2">
      <c r="A87" t="s">
        <v>19</v>
      </c>
      <c r="B87" t="s">
        <v>18</v>
      </c>
      <c r="C87" s="11">
        <f>INDEX(PlasticsUse!$B$94:$L$111,MATCH(dataforsankey!$A87,PlasticsUse!$A$94:$A$108,0),MATCH(dataforsankey!$B87,PlasticsUse!$B$93:$L$93,0))</f>
        <v>0.21063672995577348</v>
      </c>
      <c r="G87" t="str">
        <f t="shared" si="4"/>
        <v>LLDPE</v>
      </c>
      <c r="H87" t="str">
        <f t="shared" si="5"/>
        <v>Exports</v>
      </c>
      <c r="I87">
        <f t="shared" si="6"/>
        <v>0.21063672995577348</v>
      </c>
      <c r="J87" t="str">
        <f t="shared" si="7"/>
        <v>LLDPE</v>
      </c>
      <c r="M87" t="s">
        <v>891</v>
      </c>
      <c r="N87" t="s">
        <v>86</v>
      </c>
      <c r="O87" s="11">
        <f>_xlfn.IFNA(INDEX('Imports - Products'!$B$24:$G$40,MATCH(dataforsankey!$P87,'Imports - Products'!$A$24:$A$40,0),MATCH(dataforsankey!$N87,'Imports - Products'!$B$23:$G$23,0)),0)*10^-6</f>
        <v>0</v>
      </c>
      <c r="P87" t="s">
        <v>10</v>
      </c>
      <c r="S87" t="s">
        <v>10</v>
      </c>
      <c r="T87" t="s">
        <v>86</v>
      </c>
      <c r="U87" s="11">
        <f t="shared" ref="U87:U150" si="10">SUMIFS($O$23:$O$935,$M$23:$M$935,S87,$N$23:$N$935,T87,$P$23:$P$935,V87)</f>
        <v>0.20617443319212375</v>
      </c>
      <c r="V87" t="s">
        <v>10</v>
      </c>
      <c r="Y87" t="s">
        <v>10</v>
      </c>
      <c r="Z87" t="s">
        <v>86</v>
      </c>
      <c r="AA87" s="11">
        <f t="shared" ref="AA87:AA118" si="11">SUMIFS($O$23:$O$953,$M$23:$M$953,Y87,$N$23:$N$953,Z87,$P$23:$P$953,AB87)</f>
        <v>0.20617443319212375</v>
      </c>
      <c r="AB87" t="s">
        <v>10</v>
      </c>
      <c r="AE87" t="s">
        <v>10</v>
      </c>
      <c r="AF87" t="s">
        <v>86</v>
      </c>
      <c r="AG87" s="11">
        <f t="shared" ref="AG87:AG118" si="12">SUMIFS($O$23:$O$953,$M$23:$M$953,AE87,$N$23:$N$953,AF87,$P$23:$P$953,AH87)</f>
        <v>0.20617443319212375</v>
      </c>
      <c r="AH87" t="s">
        <v>10</v>
      </c>
    </row>
    <row r="88" spans="1:34" x14ac:dyDescent="0.2">
      <c r="A88" t="s">
        <v>9</v>
      </c>
      <c r="B88" t="s">
        <v>38</v>
      </c>
      <c r="C88">
        <f>'CompilationCalcs - EPA EOL'!C157</f>
        <v>0</v>
      </c>
      <c r="G88" t="str">
        <f t="shared" ref="G88:G151" si="13">A88</f>
        <v>PLA</v>
      </c>
      <c r="H88" t="str">
        <f t="shared" ref="H88:H151" si="14">B88</f>
        <v>Building and Construction</v>
      </c>
      <c r="I88">
        <f t="shared" ref="I88:I151" si="15">C88</f>
        <v>0</v>
      </c>
      <c r="J88" t="str">
        <f t="shared" ref="J88:J151" si="16">G88</f>
        <v>PLA</v>
      </c>
      <c r="M88" t="s">
        <v>891</v>
      </c>
      <c r="N88" t="s">
        <v>18</v>
      </c>
      <c r="O88" s="11">
        <f>_xlfn.IFNA(INDEX('Imports - Products'!$B$24:$G$40,MATCH(dataforsankey!$P88,'Imports - Products'!$A$24:$A$40,0),MATCH(dataforsankey!$N88,'Imports - Products'!$B$23:$G$23,0)),0)*10^-6</f>
        <v>0</v>
      </c>
      <c r="P88" t="s">
        <v>10</v>
      </c>
      <c r="S88" t="s">
        <v>10</v>
      </c>
      <c r="T88" t="s">
        <v>18</v>
      </c>
      <c r="U88" s="11">
        <f t="shared" si="10"/>
        <v>0.20617443319212375</v>
      </c>
      <c r="V88" t="s">
        <v>10</v>
      </c>
      <c r="Y88" t="s">
        <v>10</v>
      </c>
      <c r="Z88" t="s">
        <v>18</v>
      </c>
      <c r="AA88" s="11">
        <f t="shared" si="11"/>
        <v>0.20617443319212375</v>
      </c>
      <c r="AB88" t="s">
        <v>10</v>
      </c>
      <c r="AE88" t="s">
        <v>10</v>
      </c>
      <c r="AF88" t="s">
        <v>18</v>
      </c>
      <c r="AG88" s="11">
        <f t="shared" si="12"/>
        <v>0.20617443319212375</v>
      </c>
      <c r="AH88" t="s">
        <v>10</v>
      </c>
    </row>
    <row r="89" spans="1:34" x14ac:dyDescent="0.2">
      <c r="A89" t="s">
        <v>9</v>
      </c>
      <c r="B89" t="s">
        <v>99</v>
      </c>
      <c r="C89">
        <f>'CompilationCalcs - EPA EOL'!C158</f>
        <v>0</v>
      </c>
      <c r="G89" t="str">
        <f t="shared" si="13"/>
        <v>PLA</v>
      </c>
      <c r="H89" t="str">
        <f t="shared" si="14"/>
        <v>Furniture and Furnishings</v>
      </c>
      <c r="I89">
        <f t="shared" si="15"/>
        <v>0</v>
      </c>
      <c r="J89" t="str">
        <f t="shared" si="16"/>
        <v>PLA</v>
      </c>
      <c r="M89" t="s">
        <v>891</v>
      </c>
      <c r="N89" t="s">
        <v>38</v>
      </c>
      <c r="O89" s="11">
        <f>_xlfn.IFNA(INDEX('Imports - Products'!$B$24:$G$40,MATCH(dataforsankey!$P89,'Imports - Products'!$A$24:$A$40,0),MATCH(dataforsankey!$N89,'Imports - Products'!$B$23:$G$23,0)),0)*10^-6</f>
        <v>0</v>
      </c>
      <c r="P89" t="s">
        <v>11</v>
      </c>
      <c r="S89" t="s">
        <v>11</v>
      </c>
      <c r="T89" t="s">
        <v>38</v>
      </c>
      <c r="U89" s="11">
        <f t="shared" si="10"/>
        <v>0.20617443319212375</v>
      </c>
      <c r="V89" t="s">
        <v>11</v>
      </c>
      <c r="Y89" t="s">
        <v>11</v>
      </c>
      <c r="Z89" t="s">
        <v>38</v>
      </c>
      <c r="AA89" s="11">
        <f t="shared" si="11"/>
        <v>0.20617443319212375</v>
      </c>
      <c r="AB89" t="s">
        <v>11</v>
      </c>
      <c r="AE89" t="s">
        <v>11</v>
      </c>
      <c r="AF89" t="s">
        <v>38</v>
      </c>
      <c r="AG89" s="11">
        <f t="shared" si="12"/>
        <v>0.20617443319212375</v>
      </c>
      <c r="AH89" t="s">
        <v>11</v>
      </c>
    </row>
    <row r="90" spans="1:34" x14ac:dyDescent="0.2">
      <c r="A90" t="s">
        <v>9</v>
      </c>
      <c r="B90" t="s">
        <v>69</v>
      </c>
      <c r="C90">
        <f>'CompilationCalcs - EPA EOL'!C159</f>
        <v>0</v>
      </c>
      <c r="G90" t="str">
        <f t="shared" si="13"/>
        <v>PLA</v>
      </c>
      <c r="H90" t="str">
        <f t="shared" si="14"/>
        <v>Transportation</v>
      </c>
      <c r="I90">
        <f t="shared" si="15"/>
        <v>0</v>
      </c>
      <c r="J90" t="str">
        <f t="shared" si="16"/>
        <v>PLA</v>
      </c>
      <c r="M90" t="s">
        <v>891</v>
      </c>
      <c r="N90" t="s">
        <v>99</v>
      </c>
      <c r="O90" s="11">
        <f>_xlfn.IFNA(INDEX('Imports - Products'!$B$24:$G$40,MATCH(dataforsankey!$P90,'Imports - Products'!$A$24:$A$40,0),MATCH(dataforsankey!$N90,'Imports - Products'!$B$23:$G$23,0)),0)*10^-6</f>
        <v>2.4909913670409754E-2</v>
      </c>
      <c r="P90" t="s">
        <v>11</v>
      </c>
      <c r="S90" t="s">
        <v>11</v>
      </c>
      <c r="T90" t="s">
        <v>99</v>
      </c>
      <c r="U90" s="11">
        <f t="shared" si="10"/>
        <v>0.20617443319212375</v>
      </c>
      <c r="V90" t="s">
        <v>11</v>
      </c>
      <c r="Y90" t="s">
        <v>11</v>
      </c>
      <c r="Z90" t="s">
        <v>99</v>
      </c>
      <c r="AA90" s="11">
        <f t="shared" si="11"/>
        <v>0.20617443319212375</v>
      </c>
      <c r="AB90" t="s">
        <v>11</v>
      </c>
      <c r="AE90" t="s">
        <v>11</v>
      </c>
      <c r="AF90" t="s">
        <v>99</v>
      </c>
      <c r="AG90" s="11">
        <f t="shared" si="12"/>
        <v>0.20617443319212375</v>
      </c>
      <c r="AH90" t="s">
        <v>11</v>
      </c>
    </row>
    <row r="91" spans="1:34" x14ac:dyDescent="0.2">
      <c r="A91" t="s">
        <v>9</v>
      </c>
      <c r="B91" t="s">
        <v>100</v>
      </c>
      <c r="C91">
        <f>'CompilationCalcs - EPA EOL'!C160</f>
        <v>0</v>
      </c>
      <c r="G91" t="str">
        <f t="shared" si="13"/>
        <v>PLA</v>
      </c>
      <c r="H91" t="str">
        <f t="shared" si="14"/>
        <v>Industrial/Machinery</v>
      </c>
      <c r="I91">
        <f t="shared" si="15"/>
        <v>0</v>
      </c>
      <c r="J91" t="str">
        <f t="shared" si="16"/>
        <v>PLA</v>
      </c>
      <c r="M91" t="s">
        <v>891</v>
      </c>
      <c r="N91" t="s">
        <v>69</v>
      </c>
      <c r="O91" s="11">
        <f>_xlfn.IFNA(INDEX('Imports - Products'!$B$24:$G$40,MATCH(dataforsankey!$P91,'Imports - Products'!$A$24:$A$40,0),MATCH(dataforsankey!$N91,'Imports - Products'!$B$23:$G$23,0)),0)*10^-6</f>
        <v>5.1753478062717115E-2</v>
      </c>
      <c r="P91" t="s">
        <v>11</v>
      </c>
      <c r="S91" t="s">
        <v>11</v>
      </c>
      <c r="T91" t="s">
        <v>69</v>
      </c>
      <c r="U91" s="11">
        <f t="shared" si="10"/>
        <v>0.20617443319212375</v>
      </c>
      <c r="V91" t="s">
        <v>11</v>
      </c>
      <c r="Y91" t="s">
        <v>11</v>
      </c>
      <c r="Z91" t="s">
        <v>69</v>
      </c>
      <c r="AA91" s="11">
        <f t="shared" si="11"/>
        <v>0.20617443319212375</v>
      </c>
      <c r="AB91" t="s">
        <v>11</v>
      </c>
      <c r="AE91" t="s">
        <v>11</v>
      </c>
      <c r="AF91" t="s">
        <v>69</v>
      </c>
      <c r="AG91" s="11">
        <f t="shared" si="12"/>
        <v>0.20617443319212375</v>
      </c>
      <c r="AH91" t="s">
        <v>11</v>
      </c>
    </row>
    <row r="92" spans="1:34" x14ac:dyDescent="0.2">
      <c r="A92" t="s">
        <v>9</v>
      </c>
      <c r="B92" t="s">
        <v>39</v>
      </c>
      <c r="C92">
        <f>'CompilationCalcs - EPA EOL'!C161</f>
        <v>0</v>
      </c>
      <c r="G92" t="str">
        <f t="shared" si="13"/>
        <v>PLA</v>
      </c>
      <c r="H92" t="str">
        <f t="shared" si="14"/>
        <v>Packaging</v>
      </c>
      <c r="I92">
        <f t="shared" si="15"/>
        <v>0</v>
      </c>
      <c r="J92" t="str">
        <f t="shared" si="16"/>
        <v>PLA</v>
      </c>
      <c r="M92" t="s">
        <v>891</v>
      </c>
      <c r="N92" t="s">
        <v>100</v>
      </c>
      <c r="O92" s="11">
        <f>_xlfn.IFNA(INDEX('Imports - Products'!$B$24:$G$40,MATCH(dataforsankey!$P92,'Imports - Products'!$A$24:$A$40,0),MATCH(dataforsankey!$N92,'Imports - Products'!$B$23:$G$23,0)),0)*10^-6</f>
        <v>0</v>
      </c>
      <c r="P92" t="s">
        <v>11</v>
      </c>
      <c r="S92" t="s">
        <v>11</v>
      </c>
      <c r="T92" t="s">
        <v>100</v>
      </c>
      <c r="U92" s="11">
        <f t="shared" si="10"/>
        <v>0.20617443319212375</v>
      </c>
      <c r="V92" t="s">
        <v>11</v>
      </c>
      <c r="Y92" t="s">
        <v>11</v>
      </c>
      <c r="Z92" t="s">
        <v>100</v>
      </c>
      <c r="AA92" s="11">
        <f t="shared" si="11"/>
        <v>0.20617443319212375</v>
      </c>
      <c r="AB92" t="s">
        <v>11</v>
      </c>
      <c r="AE92" t="s">
        <v>11</v>
      </c>
      <c r="AF92" t="s">
        <v>100</v>
      </c>
      <c r="AG92" s="11">
        <f t="shared" si="12"/>
        <v>0.20617443319212375</v>
      </c>
      <c r="AH92" t="s">
        <v>11</v>
      </c>
    </row>
    <row r="93" spans="1:34" x14ac:dyDescent="0.2">
      <c r="A93" t="s">
        <v>9</v>
      </c>
      <c r="B93" t="s">
        <v>68</v>
      </c>
      <c r="C93">
        <f>'CompilationCalcs - EPA EOL'!C162</f>
        <v>0</v>
      </c>
      <c r="G93" t="str">
        <f t="shared" si="13"/>
        <v>PLA</v>
      </c>
      <c r="H93" t="str">
        <f t="shared" si="14"/>
        <v>Electrical/Electronic</v>
      </c>
      <c r="I93">
        <f t="shared" si="15"/>
        <v>0</v>
      </c>
      <c r="J93" t="str">
        <f t="shared" si="16"/>
        <v>PLA</v>
      </c>
      <c r="M93" t="s">
        <v>891</v>
      </c>
      <c r="N93" t="s">
        <v>39</v>
      </c>
      <c r="O93" s="11">
        <f>_xlfn.IFNA(INDEX('Imports - Products'!$B$24:$G$40,MATCH(dataforsankey!$P93,'Imports - Products'!$A$24:$A$40,0),MATCH(dataforsankey!$N93,'Imports - Products'!$B$23:$G$23,0)),0)*10^-6</f>
        <v>4.0433925559432857E-2</v>
      </c>
      <c r="P93" t="s">
        <v>11</v>
      </c>
      <c r="S93" t="s">
        <v>11</v>
      </c>
      <c r="T93" t="s">
        <v>39</v>
      </c>
      <c r="U93" s="11">
        <f t="shared" si="10"/>
        <v>0.20617443319212375</v>
      </c>
      <c r="V93" t="s">
        <v>11</v>
      </c>
      <c r="Y93" t="s">
        <v>11</v>
      </c>
      <c r="Z93" t="s">
        <v>39</v>
      </c>
      <c r="AA93" s="11">
        <f t="shared" si="11"/>
        <v>0.20617443319212375</v>
      </c>
      <c r="AB93" t="s">
        <v>11</v>
      </c>
      <c r="AE93" t="s">
        <v>11</v>
      </c>
      <c r="AF93" t="s">
        <v>39</v>
      </c>
      <c r="AG93" s="11">
        <f t="shared" si="12"/>
        <v>0.20617443319212375</v>
      </c>
      <c r="AH93" t="s">
        <v>11</v>
      </c>
    </row>
    <row r="94" spans="1:34" x14ac:dyDescent="0.2">
      <c r="A94" t="s">
        <v>9</v>
      </c>
      <c r="B94" t="s">
        <v>91</v>
      </c>
      <c r="C94">
        <f>'CompilationCalcs - EPA EOL'!C163</f>
        <v>0</v>
      </c>
      <c r="G94" t="str">
        <f t="shared" si="13"/>
        <v>PLA</v>
      </c>
      <c r="H94" t="str">
        <f t="shared" si="14"/>
        <v>Consumer and Insitutional</v>
      </c>
      <c r="I94">
        <f t="shared" si="15"/>
        <v>0</v>
      </c>
      <c r="J94" t="str">
        <f t="shared" si="16"/>
        <v>PLA</v>
      </c>
      <c r="M94" t="s">
        <v>891</v>
      </c>
      <c r="N94" t="s">
        <v>68</v>
      </c>
      <c r="O94" s="11">
        <f>_xlfn.IFNA(INDEX('Imports - Products'!$B$24:$G$40,MATCH(dataforsankey!$P94,'Imports - Products'!$A$24:$A$40,0),MATCH(dataforsankey!$N94,'Imports - Products'!$B$23:$G$23,0)),0)*10^-6</f>
        <v>6.6089497823632645E-2</v>
      </c>
      <c r="P94" t="s">
        <v>11</v>
      </c>
      <c r="S94" t="s">
        <v>11</v>
      </c>
      <c r="T94" t="s">
        <v>68</v>
      </c>
      <c r="U94" s="11">
        <f t="shared" si="10"/>
        <v>0.20617443319212375</v>
      </c>
      <c r="V94" t="s">
        <v>11</v>
      </c>
      <c r="Y94" t="s">
        <v>11</v>
      </c>
      <c r="Z94" t="s">
        <v>68</v>
      </c>
      <c r="AA94" s="11">
        <f t="shared" si="11"/>
        <v>0.20617443319212375</v>
      </c>
      <c r="AB94" t="s">
        <v>11</v>
      </c>
      <c r="AE94" t="s">
        <v>11</v>
      </c>
      <c r="AF94" t="s">
        <v>68</v>
      </c>
      <c r="AG94" s="11">
        <f t="shared" si="12"/>
        <v>0.20617443319212375</v>
      </c>
      <c r="AH94" t="s">
        <v>11</v>
      </c>
    </row>
    <row r="95" spans="1:34" x14ac:dyDescent="0.2">
      <c r="A95" t="s">
        <v>9</v>
      </c>
      <c r="B95" t="s">
        <v>92</v>
      </c>
      <c r="C95">
        <f>'CompilationCalcs - EPA EOL'!C164</f>
        <v>0</v>
      </c>
      <c r="G95" t="str">
        <f t="shared" si="13"/>
        <v>PLA</v>
      </c>
      <c r="H95" t="str">
        <f t="shared" si="14"/>
        <v>Adhesives/Inks/Coatings</v>
      </c>
      <c r="I95">
        <f t="shared" si="15"/>
        <v>0</v>
      </c>
      <c r="J95" t="str">
        <f t="shared" si="16"/>
        <v>PLA</v>
      </c>
      <c r="M95" t="s">
        <v>891</v>
      </c>
      <c r="N95" t="s">
        <v>63</v>
      </c>
      <c r="O95" s="11">
        <f>_xlfn.IFNA(INDEX('Imports - Products'!$B$24:$G$40,MATCH(dataforsankey!$P95,'Imports - Products'!$A$24:$A$40,0),MATCH(dataforsankey!$N95,'Imports - Products'!$B$23:$G$23,0)),0)*10^-6</f>
        <v>2.4797480951771828E-2</v>
      </c>
      <c r="P95" t="s">
        <v>11</v>
      </c>
      <c r="S95" t="s">
        <v>11</v>
      </c>
      <c r="T95" t="s">
        <v>63</v>
      </c>
      <c r="U95" s="11">
        <f t="shared" si="10"/>
        <v>0.20617443319212375</v>
      </c>
      <c r="V95" t="s">
        <v>11</v>
      </c>
      <c r="Y95" t="s">
        <v>11</v>
      </c>
      <c r="Z95" t="s">
        <v>63</v>
      </c>
      <c r="AA95" s="11">
        <f t="shared" si="11"/>
        <v>0.20617443319212375</v>
      </c>
      <c r="AB95" t="s">
        <v>11</v>
      </c>
      <c r="AE95" t="s">
        <v>11</v>
      </c>
      <c r="AF95" t="s">
        <v>63</v>
      </c>
      <c r="AG95" s="11">
        <f t="shared" si="12"/>
        <v>0.20617443319212375</v>
      </c>
      <c r="AH95" t="s">
        <v>11</v>
      </c>
    </row>
    <row r="96" spans="1:34" x14ac:dyDescent="0.2">
      <c r="A96" t="s">
        <v>9</v>
      </c>
      <c r="B96" t="s">
        <v>103</v>
      </c>
      <c r="C96">
        <f>'CompilationCalcs - EPA EOL'!C165</f>
        <v>0</v>
      </c>
      <c r="G96" t="str">
        <f t="shared" si="13"/>
        <v>PLA</v>
      </c>
      <c r="H96" t="str">
        <f t="shared" si="14"/>
        <v>Textiles, Fibers and Apparel</v>
      </c>
      <c r="I96">
        <f t="shared" si="15"/>
        <v>0</v>
      </c>
      <c r="J96" t="str">
        <f t="shared" si="16"/>
        <v>PLA</v>
      </c>
      <c r="M96" t="s">
        <v>891</v>
      </c>
      <c r="N96" t="s">
        <v>92</v>
      </c>
      <c r="O96" s="11">
        <f>_xlfn.IFNA(INDEX('Imports - Products'!$B$24:$G$40,MATCH(dataforsankey!$P96,'Imports - Products'!$A$24:$A$40,0),MATCH(dataforsankey!$N96,'Imports - Products'!$B$23:$G$23,0)),0)*10^-6</f>
        <v>0</v>
      </c>
      <c r="P96" t="s">
        <v>11</v>
      </c>
      <c r="S96" t="s">
        <v>11</v>
      </c>
      <c r="T96" t="s">
        <v>92</v>
      </c>
      <c r="U96" s="11">
        <f t="shared" si="10"/>
        <v>0.20617443319212375</v>
      </c>
      <c r="V96" t="s">
        <v>11</v>
      </c>
      <c r="Y96" t="s">
        <v>11</v>
      </c>
      <c r="Z96" t="s">
        <v>92</v>
      </c>
      <c r="AA96" s="11">
        <f t="shared" si="11"/>
        <v>0.20617443319212375</v>
      </c>
      <c r="AB96" t="s">
        <v>11</v>
      </c>
      <c r="AE96" t="s">
        <v>11</v>
      </c>
      <c r="AF96" t="s">
        <v>92</v>
      </c>
      <c r="AG96" s="11">
        <f t="shared" si="12"/>
        <v>0.20617443319212375</v>
      </c>
      <c r="AH96" t="s">
        <v>11</v>
      </c>
    </row>
    <row r="97" spans="1:34" x14ac:dyDescent="0.2">
      <c r="A97" t="s">
        <v>9</v>
      </c>
      <c r="B97" t="s">
        <v>86</v>
      </c>
      <c r="C97">
        <f>'CompilationCalcs - EPA EOL'!C166</f>
        <v>8.1818181818181818E-2</v>
      </c>
      <c r="G97" t="str">
        <f t="shared" si="13"/>
        <v>PLA</v>
      </c>
      <c r="H97" t="str">
        <f t="shared" si="14"/>
        <v>Other End Use Markets</v>
      </c>
      <c r="I97">
        <f t="shared" si="15"/>
        <v>8.1818181818181818E-2</v>
      </c>
      <c r="J97" t="str">
        <f t="shared" si="16"/>
        <v>PLA</v>
      </c>
      <c r="M97" t="s">
        <v>891</v>
      </c>
      <c r="N97" t="s">
        <v>103</v>
      </c>
      <c r="O97" s="11">
        <f>_xlfn.IFNA(INDEX('Imports - Products'!$B$24:$G$40,MATCH(dataforsankey!$P97,'Imports - Products'!$A$24:$A$40,0),MATCH(dataforsankey!$N97,'Imports - Products'!$B$23:$G$23,0)),0)*10^-6</f>
        <v>0</v>
      </c>
      <c r="P97" t="s">
        <v>11</v>
      </c>
      <c r="S97" t="s">
        <v>11</v>
      </c>
      <c r="T97" t="s">
        <v>103</v>
      </c>
      <c r="U97" s="11">
        <f t="shared" si="10"/>
        <v>0</v>
      </c>
      <c r="V97" t="s">
        <v>11</v>
      </c>
      <c r="Y97" t="s">
        <v>11</v>
      </c>
      <c r="Z97" t="s">
        <v>103</v>
      </c>
      <c r="AA97" s="11">
        <f t="shared" si="11"/>
        <v>0</v>
      </c>
      <c r="AB97" t="s">
        <v>11</v>
      </c>
      <c r="AE97" t="s">
        <v>11</v>
      </c>
      <c r="AF97" t="s">
        <v>103</v>
      </c>
      <c r="AG97" s="11">
        <f t="shared" si="12"/>
        <v>0</v>
      </c>
      <c r="AH97" t="s">
        <v>11</v>
      </c>
    </row>
    <row r="98" spans="1:34" x14ac:dyDescent="0.2">
      <c r="A98" t="s">
        <v>9</v>
      </c>
      <c r="B98" t="s">
        <v>18</v>
      </c>
      <c r="C98">
        <f>'CompilationCalcs - EPA EOL'!C167</f>
        <v>0</v>
      </c>
      <c r="G98" t="str">
        <f t="shared" si="13"/>
        <v>PLA</v>
      </c>
      <c r="H98" t="str">
        <f t="shared" si="14"/>
        <v>Exports</v>
      </c>
      <c r="I98">
        <f t="shared" si="15"/>
        <v>0</v>
      </c>
      <c r="J98" t="str">
        <f t="shared" si="16"/>
        <v>PLA</v>
      </c>
      <c r="M98" t="s">
        <v>891</v>
      </c>
      <c r="N98" t="s">
        <v>86</v>
      </c>
      <c r="O98" s="11">
        <f>_xlfn.IFNA(INDEX('Imports - Products'!$B$24:$G$40,MATCH(dataforsankey!$P98,'Imports - Products'!$A$24:$A$40,0),MATCH(dataforsankey!$N98,'Imports - Products'!$B$23:$G$23,0)),0)*10^-6</f>
        <v>0</v>
      </c>
      <c r="P98" t="s">
        <v>11</v>
      </c>
      <c r="S98" t="s">
        <v>11</v>
      </c>
      <c r="T98" t="s">
        <v>86</v>
      </c>
      <c r="U98" s="11">
        <f t="shared" si="10"/>
        <v>0.20617443319212375</v>
      </c>
      <c r="V98" t="s">
        <v>11</v>
      </c>
      <c r="Y98" t="s">
        <v>11</v>
      </c>
      <c r="Z98" t="s">
        <v>86</v>
      </c>
      <c r="AA98" s="11">
        <f t="shared" si="11"/>
        <v>0.20617443319212375</v>
      </c>
      <c r="AB98" t="s">
        <v>11</v>
      </c>
      <c r="AE98" t="s">
        <v>11</v>
      </c>
      <c r="AF98" t="s">
        <v>86</v>
      </c>
      <c r="AG98" s="11">
        <f t="shared" si="12"/>
        <v>0.20617443319212375</v>
      </c>
      <c r="AH98" t="s">
        <v>11</v>
      </c>
    </row>
    <row r="99" spans="1:34" x14ac:dyDescent="0.2">
      <c r="A99" t="s">
        <v>10</v>
      </c>
      <c r="B99" t="s">
        <v>38</v>
      </c>
      <c r="C99" s="11">
        <f>INDEX(PlasticsUse!$B$94:$L$111,MATCH(dataforsankey!$A99,PlasticsUse!$A$94:$A$108,0),MATCH(dataforsankey!$B99,PlasticsUse!$B$93:$L$93,0))</f>
        <v>0.22658575439314271</v>
      </c>
      <c r="G99" t="str">
        <f t="shared" si="13"/>
        <v>PP</v>
      </c>
      <c r="H99" t="str">
        <f t="shared" si="14"/>
        <v>Building and Construction</v>
      </c>
      <c r="I99">
        <f t="shared" si="15"/>
        <v>0.22658575439314271</v>
      </c>
      <c r="J99" t="str">
        <f t="shared" si="16"/>
        <v>PP</v>
      </c>
      <c r="M99" t="s">
        <v>891</v>
      </c>
      <c r="N99" t="s">
        <v>18</v>
      </c>
      <c r="O99" s="11">
        <f>_xlfn.IFNA(INDEX('Imports - Products'!$B$24:$G$40,MATCH(dataforsankey!$P99,'Imports - Products'!$A$24:$A$40,0),MATCH(dataforsankey!$N99,'Imports - Products'!$B$23:$G$23,0)),0)*10^-6</f>
        <v>0</v>
      </c>
      <c r="P99" t="s">
        <v>11</v>
      </c>
      <c r="S99" t="s">
        <v>11</v>
      </c>
      <c r="T99" t="s">
        <v>18</v>
      </c>
      <c r="U99" s="11">
        <f t="shared" si="10"/>
        <v>0.20617443319212375</v>
      </c>
      <c r="V99" t="s">
        <v>11</v>
      </c>
      <c r="Y99" t="s">
        <v>11</v>
      </c>
      <c r="Z99" t="s">
        <v>18</v>
      </c>
      <c r="AA99" s="11">
        <f t="shared" si="11"/>
        <v>0.20617443319212375</v>
      </c>
      <c r="AB99" t="s">
        <v>11</v>
      </c>
      <c r="AE99" t="s">
        <v>11</v>
      </c>
      <c r="AF99" t="s">
        <v>18</v>
      </c>
      <c r="AG99" s="11">
        <f t="shared" si="12"/>
        <v>0.20617443319212375</v>
      </c>
      <c r="AH99" t="s">
        <v>11</v>
      </c>
    </row>
    <row r="100" spans="1:34" x14ac:dyDescent="0.2">
      <c r="A100" t="s">
        <v>10</v>
      </c>
      <c r="B100" t="s">
        <v>99</v>
      </c>
      <c r="C100" s="11">
        <f>INDEX(PlasticsUse!$B$94:$L$111,MATCH(dataforsankey!$A100,PlasticsUse!$A$94:$A$108,0),MATCH(dataforsankey!$B100,PlasticsUse!$B$93:$L$93,0))</f>
        <v>0.25328715207407843</v>
      </c>
      <c r="G100" t="str">
        <f t="shared" si="13"/>
        <v>PP</v>
      </c>
      <c r="H100" t="str">
        <f t="shared" si="14"/>
        <v>Furniture and Furnishings</v>
      </c>
      <c r="I100">
        <f t="shared" si="15"/>
        <v>0.25328715207407843</v>
      </c>
      <c r="J100" t="str">
        <f t="shared" si="16"/>
        <v>PP</v>
      </c>
      <c r="M100" t="s">
        <v>891</v>
      </c>
      <c r="N100" t="s">
        <v>38</v>
      </c>
      <c r="O100" s="11">
        <f>_xlfn.IFNA(INDEX('Imports - Products'!$B$24:$G$40,MATCH(dataforsankey!$P100,'Imports - Products'!$A$24:$A$40,0),MATCH(dataforsankey!$N100,'Imports - Products'!$B$23:$G$23,0)),0)*10^-6</f>
        <v>0</v>
      </c>
      <c r="P100" t="s">
        <v>25</v>
      </c>
      <c r="S100" t="s">
        <v>25</v>
      </c>
      <c r="T100" t="s">
        <v>38</v>
      </c>
      <c r="U100" s="11">
        <f t="shared" si="10"/>
        <v>0.20617443319212375</v>
      </c>
      <c r="V100" t="s">
        <v>25</v>
      </c>
      <c r="Y100" t="s">
        <v>25</v>
      </c>
      <c r="Z100" t="s">
        <v>38</v>
      </c>
      <c r="AA100" s="11">
        <f t="shared" si="11"/>
        <v>0.20617443319212375</v>
      </c>
      <c r="AB100" t="s">
        <v>25</v>
      </c>
      <c r="AE100" t="s">
        <v>25</v>
      </c>
      <c r="AF100" t="s">
        <v>38</v>
      </c>
      <c r="AG100" s="11">
        <f t="shared" si="12"/>
        <v>0.20617443319212375</v>
      </c>
      <c r="AH100" t="s">
        <v>25</v>
      </c>
    </row>
    <row r="101" spans="1:34" x14ac:dyDescent="0.2">
      <c r="A101" t="s">
        <v>10</v>
      </c>
      <c r="B101" t="s">
        <v>69</v>
      </c>
      <c r="C101" s="11">
        <f>INDEX(PlasticsUse!$B$94:$L$111,MATCH(dataforsankey!$A101,PlasticsUse!$A$94:$A$108,0),MATCH(dataforsankey!$B101,PlasticsUse!$B$93:$L$93,0))</f>
        <v>0.28206126576617996</v>
      </c>
      <c r="G101" t="str">
        <f t="shared" si="13"/>
        <v>PP</v>
      </c>
      <c r="H101" t="str">
        <f t="shared" si="14"/>
        <v>Transportation</v>
      </c>
      <c r="I101">
        <f t="shared" si="15"/>
        <v>0.28206126576617996</v>
      </c>
      <c r="J101" t="str">
        <f t="shared" si="16"/>
        <v>PP</v>
      </c>
      <c r="M101" t="s">
        <v>891</v>
      </c>
      <c r="N101" t="s">
        <v>99</v>
      </c>
      <c r="O101" s="11">
        <f>_xlfn.IFNA(INDEX('Imports - Products'!$B$24:$G$40,MATCH(dataforsankey!$P101,'Imports - Products'!$A$24:$A$40,0),MATCH(dataforsankey!$N101,'Imports - Products'!$B$23:$G$23,0)),0)*10^-6</f>
        <v>2.5579703599599934E-2</v>
      </c>
      <c r="P101" t="s">
        <v>25</v>
      </c>
      <c r="S101" t="s">
        <v>25</v>
      </c>
      <c r="T101" t="s">
        <v>99</v>
      </c>
      <c r="U101" s="11">
        <f t="shared" si="10"/>
        <v>0.20617443319212375</v>
      </c>
      <c r="V101" t="s">
        <v>25</v>
      </c>
      <c r="Y101" t="s">
        <v>25</v>
      </c>
      <c r="Z101" t="s">
        <v>99</v>
      </c>
      <c r="AA101" s="11">
        <f t="shared" si="11"/>
        <v>0.20617443319212375</v>
      </c>
      <c r="AB101" t="s">
        <v>25</v>
      </c>
      <c r="AE101" t="s">
        <v>25</v>
      </c>
      <c r="AF101" t="s">
        <v>99</v>
      </c>
      <c r="AG101" s="11">
        <f t="shared" si="12"/>
        <v>0.20617443319212375</v>
      </c>
      <c r="AH101" t="s">
        <v>25</v>
      </c>
    </row>
    <row r="102" spans="1:34" x14ac:dyDescent="0.2">
      <c r="A102" t="s">
        <v>10</v>
      </c>
      <c r="B102" t="s">
        <v>100</v>
      </c>
      <c r="C102" s="11">
        <f>INDEX(PlasticsUse!$B$94:$L$111,MATCH(dataforsankey!$A102,PlasticsUse!$A$94:$A$108,0),MATCH(dataforsankey!$B102,PlasticsUse!$B$93:$L$93,0))</f>
        <v>0.22658575439314271</v>
      </c>
      <c r="G102" t="str">
        <f t="shared" si="13"/>
        <v>PP</v>
      </c>
      <c r="H102" t="str">
        <f t="shared" si="14"/>
        <v>Industrial/Machinery</v>
      </c>
      <c r="I102">
        <f t="shared" si="15"/>
        <v>0.22658575439314271</v>
      </c>
      <c r="J102" t="str">
        <f t="shared" si="16"/>
        <v>PP</v>
      </c>
      <c r="M102" t="s">
        <v>891</v>
      </c>
      <c r="N102" t="s">
        <v>69</v>
      </c>
      <c r="O102" s="11">
        <f>_xlfn.IFNA(INDEX('Imports - Products'!$B$24:$G$40,MATCH(dataforsankey!$P102,'Imports - Products'!$A$24:$A$40,0),MATCH(dataforsankey!$N102,'Imports - Products'!$B$23:$G$23,0)),0)*10^-6</f>
        <v>5.3145050866445859E-2</v>
      </c>
      <c r="P102" t="s">
        <v>25</v>
      </c>
      <c r="S102" t="s">
        <v>25</v>
      </c>
      <c r="T102" t="s">
        <v>69</v>
      </c>
      <c r="U102" s="11">
        <f t="shared" si="10"/>
        <v>0.20617443319212375</v>
      </c>
      <c r="V102" t="s">
        <v>25</v>
      </c>
      <c r="Y102" t="s">
        <v>25</v>
      </c>
      <c r="Z102" t="s">
        <v>69</v>
      </c>
      <c r="AA102" s="11">
        <f t="shared" si="11"/>
        <v>0.20617443319212375</v>
      </c>
      <c r="AB102" t="s">
        <v>25</v>
      </c>
      <c r="AE102" t="s">
        <v>25</v>
      </c>
      <c r="AF102" t="s">
        <v>69</v>
      </c>
      <c r="AG102" s="11">
        <f t="shared" si="12"/>
        <v>0.20617443319212375</v>
      </c>
      <c r="AH102" t="s">
        <v>25</v>
      </c>
    </row>
    <row r="103" spans="1:34" x14ac:dyDescent="0.2">
      <c r="A103" t="s">
        <v>10</v>
      </c>
      <c r="B103" t="s">
        <v>39</v>
      </c>
      <c r="C103" s="11">
        <f>INDEX(PlasticsUse!$B$94:$L$111,MATCH(dataforsankey!$A103,PlasticsUse!$A$94:$A$108,0),MATCH(dataforsankey!$B103,PlasticsUse!$B$93:$L$93,0))</f>
        <v>0.26992762785159086</v>
      </c>
      <c r="G103" t="str">
        <f t="shared" si="13"/>
        <v>PP</v>
      </c>
      <c r="H103" t="str">
        <f t="shared" si="14"/>
        <v>Packaging</v>
      </c>
      <c r="I103">
        <f t="shared" si="15"/>
        <v>0.26992762785159086</v>
      </c>
      <c r="J103" t="str">
        <f t="shared" si="16"/>
        <v>PP</v>
      </c>
      <c r="M103" t="s">
        <v>891</v>
      </c>
      <c r="N103" t="s">
        <v>100</v>
      </c>
      <c r="O103" s="11">
        <f>_xlfn.IFNA(INDEX('Imports - Products'!$B$24:$G$40,MATCH(dataforsankey!$P103,'Imports - Products'!$A$24:$A$40,0),MATCH(dataforsankey!$N103,'Imports - Products'!$B$23:$G$23,0)),0)*10^-6</f>
        <v>0</v>
      </c>
      <c r="P103" t="s">
        <v>25</v>
      </c>
      <c r="S103" t="s">
        <v>25</v>
      </c>
      <c r="T103" t="s">
        <v>100</v>
      </c>
      <c r="U103" s="11">
        <f t="shared" si="10"/>
        <v>0.20617443319212375</v>
      </c>
      <c r="V103" t="s">
        <v>25</v>
      </c>
      <c r="Y103" t="s">
        <v>25</v>
      </c>
      <c r="Z103" t="s">
        <v>100</v>
      </c>
      <c r="AA103" s="11">
        <f t="shared" si="11"/>
        <v>0.20617443319212375</v>
      </c>
      <c r="AB103" t="s">
        <v>25</v>
      </c>
      <c r="AE103" t="s">
        <v>25</v>
      </c>
      <c r="AF103" t="s">
        <v>100</v>
      </c>
      <c r="AG103" s="11">
        <f t="shared" si="12"/>
        <v>0.20617443319212375</v>
      </c>
      <c r="AH103" t="s">
        <v>25</v>
      </c>
    </row>
    <row r="104" spans="1:34" x14ac:dyDescent="0.2">
      <c r="A104" t="s">
        <v>10</v>
      </c>
      <c r="B104" t="s">
        <v>68</v>
      </c>
      <c r="C104" s="11">
        <f>INDEX(PlasticsUse!$B$94:$L$111,MATCH(dataforsankey!$A104,PlasticsUse!$A$94:$A$108,0),MATCH(dataforsankey!$B104,PlasticsUse!$B$93:$L$93,0))</f>
        <v>0.29742831078539544</v>
      </c>
      <c r="G104" t="str">
        <f t="shared" si="13"/>
        <v>PP</v>
      </c>
      <c r="H104" t="str">
        <f t="shared" si="14"/>
        <v>Electrical/Electronic</v>
      </c>
      <c r="I104">
        <f t="shared" si="15"/>
        <v>0.29742831078539544</v>
      </c>
      <c r="J104" t="str">
        <f t="shared" si="16"/>
        <v>PP</v>
      </c>
      <c r="M104" t="s">
        <v>891</v>
      </c>
      <c r="N104" t="s">
        <v>39</v>
      </c>
      <c r="O104" s="11">
        <f>_xlfn.IFNA(INDEX('Imports - Products'!$B$24:$G$40,MATCH(dataforsankey!$P104,'Imports - Products'!$A$24:$A$40,0),MATCH(dataforsankey!$N104,'Imports - Products'!$B$23:$G$23,0)),0)*10^-6</f>
        <v>4.1521132704976045E-2</v>
      </c>
      <c r="P104" t="s">
        <v>25</v>
      </c>
      <c r="S104" t="s">
        <v>25</v>
      </c>
      <c r="T104" t="s">
        <v>39</v>
      </c>
      <c r="U104" s="11">
        <f t="shared" si="10"/>
        <v>0.20617443319212375</v>
      </c>
      <c r="V104" t="s">
        <v>25</v>
      </c>
      <c r="Y104" t="s">
        <v>25</v>
      </c>
      <c r="Z104" t="s">
        <v>39</v>
      </c>
      <c r="AA104" s="11">
        <f t="shared" si="11"/>
        <v>0.20617443319212375</v>
      </c>
      <c r="AB104" t="s">
        <v>25</v>
      </c>
      <c r="AE104" t="s">
        <v>25</v>
      </c>
      <c r="AF104" t="s">
        <v>39</v>
      </c>
      <c r="AG104" s="11">
        <f t="shared" si="12"/>
        <v>0.20617443319212375</v>
      </c>
      <c r="AH104" t="s">
        <v>25</v>
      </c>
    </row>
    <row r="105" spans="1:34" x14ac:dyDescent="0.2">
      <c r="A105" t="s">
        <v>10</v>
      </c>
      <c r="B105" t="s">
        <v>91</v>
      </c>
      <c r="C105" s="11" t="e">
        <f>INDEX(PlasticsUse!$B$94:$L$111,MATCH(dataforsankey!$A105,PlasticsUse!$A$94:$A$108,0),MATCH(dataforsankey!$B105,PlasticsUse!$B$93:$L$93,0))</f>
        <v>#N/A</v>
      </c>
      <c r="G105" t="str">
        <f t="shared" si="13"/>
        <v>PP</v>
      </c>
      <c r="H105" t="str">
        <f t="shared" si="14"/>
        <v>Consumer and Insitutional</v>
      </c>
      <c r="I105" t="e">
        <f t="shared" si="15"/>
        <v>#N/A</v>
      </c>
      <c r="J105" t="str">
        <f t="shared" si="16"/>
        <v>PP</v>
      </c>
      <c r="M105" t="s">
        <v>891</v>
      </c>
      <c r="N105" t="s">
        <v>68</v>
      </c>
      <c r="O105" s="11">
        <f>_xlfn.IFNA(INDEX('Imports - Products'!$B$24:$G$40,MATCH(dataforsankey!$P105,'Imports - Products'!$A$24:$A$40,0),MATCH(dataforsankey!$N105,'Imports - Products'!$B$23:$G$23,0)),0)*10^-6</f>
        <v>6.7866544530947745E-2</v>
      </c>
      <c r="P105" t="s">
        <v>25</v>
      </c>
      <c r="S105" t="s">
        <v>25</v>
      </c>
      <c r="T105" t="s">
        <v>68</v>
      </c>
      <c r="U105" s="11">
        <f t="shared" si="10"/>
        <v>0.20617443319212375</v>
      </c>
      <c r="V105" t="s">
        <v>25</v>
      </c>
      <c r="Y105" t="s">
        <v>25</v>
      </c>
      <c r="Z105" t="s">
        <v>68</v>
      </c>
      <c r="AA105" s="11">
        <f t="shared" si="11"/>
        <v>0.20617443319212375</v>
      </c>
      <c r="AB105" t="s">
        <v>25</v>
      </c>
      <c r="AE105" t="s">
        <v>25</v>
      </c>
      <c r="AF105" t="s">
        <v>68</v>
      </c>
      <c r="AG105" s="11">
        <f t="shared" si="12"/>
        <v>0.20617443319212375</v>
      </c>
      <c r="AH105" t="s">
        <v>25</v>
      </c>
    </row>
    <row r="106" spans="1:34" x14ac:dyDescent="0.2">
      <c r="A106" t="s">
        <v>10</v>
      </c>
      <c r="B106" t="s">
        <v>92</v>
      </c>
      <c r="C106" s="11">
        <f>INDEX(PlasticsUse!$B$94:$L$111,MATCH(dataforsankey!$A106,PlasticsUse!$A$94:$A$108,0),MATCH(dataforsankey!$B106,PlasticsUse!$B$93:$L$93,0))</f>
        <v>0.22658575439314271</v>
      </c>
      <c r="G106" t="str">
        <f t="shared" si="13"/>
        <v>PP</v>
      </c>
      <c r="H106" t="str">
        <f t="shared" si="14"/>
        <v>Adhesives/Inks/Coatings</v>
      </c>
      <c r="I106">
        <f t="shared" si="15"/>
        <v>0.22658575439314271</v>
      </c>
      <c r="J106" t="str">
        <f t="shared" si="16"/>
        <v>PP</v>
      </c>
      <c r="M106" t="s">
        <v>891</v>
      </c>
      <c r="N106" t="s">
        <v>63</v>
      </c>
      <c r="O106" s="11">
        <f>_xlfn.IFNA(INDEX('Imports - Products'!$B$24:$G$40,MATCH(dataforsankey!$P106,'Imports - Products'!$A$24:$A$40,0),MATCH(dataforsankey!$N106,'Imports - Products'!$B$23:$G$23,0)),0)*10^-6</f>
        <v>2.5464247735091188E-2</v>
      </c>
      <c r="P106" t="s">
        <v>25</v>
      </c>
      <c r="S106" t="s">
        <v>25</v>
      </c>
      <c r="T106" t="s">
        <v>63</v>
      </c>
      <c r="U106" s="11">
        <f t="shared" si="10"/>
        <v>0.20617443319212375</v>
      </c>
      <c r="V106" t="s">
        <v>25</v>
      </c>
      <c r="Y106" t="s">
        <v>25</v>
      </c>
      <c r="Z106" t="s">
        <v>63</v>
      </c>
      <c r="AA106" s="11">
        <f t="shared" si="11"/>
        <v>0.20617443319212375</v>
      </c>
      <c r="AB106" t="s">
        <v>25</v>
      </c>
      <c r="AE106" t="s">
        <v>25</v>
      </c>
      <c r="AF106" t="s">
        <v>63</v>
      </c>
      <c r="AG106" s="11">
        <f t="shared" si="12"/>
        <v>0.20617443319212375</v>
      </c>
      <c r="AH106" t="s">
        <v>25</v>
      </c>
    </row>
    <row r="107" spans="1:34" x14ac:dyDescent="0.2">
      <c r="A107" t="s">
        <v>10</v>
      </c>
      <c r="B107" t="s">
        <v>103</v>
      </c>
      <c r="C107" s="11">
        <f>INDEX(PlasticsUse!$B$94:$L$111,MATCH(dataforsankey!$A107,PlasticsUse!$A$94:$A$108,0),MATCH(dataforsankey!$B107,PlasticsUse!$B$93:$L$93,0))</f>
        <v>0</v>
      </c>
      <c r="G107" t="str">
        <f t="shared" si="13"/>
        <v>PP</v>
      </c>
      <c r="H107" t="str">
        <f t="shared" si="14"/>
        <v>Textiles, Fibers and Apparel</v>
      </c>
      <c r="I107">
        <f t="shared" si="15"/>
        <v>0</v>
      </c>
      <c r="J107" t="str">
        <f t="shared" si="16"/>
        <v>PP</v>
      </c>
      <c r="M107" t="s">
        <v>891</v>
      </c>
      <c r="N107" t="s">
        <v>92</v>
      </c>
      <c r="O107" s="11">
        <f>_xlfn.IFNA(INDEX('Imports - Products'!$B$24:$G$40,MATCH(dataforsankey!$P107,'Imports - Products'!$A$24:$A$40,0),MATCH(dataforsankey!$N107,'Imports - Products'!$B$23:$G$23,0)),0)*10^-6</f>
        <v>0</v>
      </c>
      <c r="P107" t="s">
        <v>25</v>
      </c>
      <c r="S107" t="s">
        <v>25</v>
      </c>
      <c r="T107" t="s">
        <v>92</v>
      </c>
      <c r="U107" s="11">
        <f t="shared" si="10"/>
        <v>0.20617443319212375</v>
      </c>
      <c r="V107" t="s">
        <v>25</v>
      </c>
      <c r="Y107" t="s">
        <v>25</v>
      </c>
      <c r="Z107" t="s">
        <v>92</v>
      </c>
      <c r="AA107" s="11">
        <f t="shared" si="11"/>
        <v>0.20617443319212375</v>
      </c>
      <c r="AB107" t="s">
        <v>25</v>
      </c>
      <c r="AE107" t="s">
        <v>25</v>
      </c>
      <c r="AF107" t="s">
        <v>92</v>
      </c>
      <c r="AG107" s="11">
        <f t="shared" si="12"/>
        <v>0.20617443319212375</v>
      </c>
      <c r="AH107" t="s">
        <v>25</v>
      </c>
    </row>
    <row r="108" spans="1:34" x14ac:dyDescent="0.2">
      <c r="A108" t="s">
        <v>10</v>
      </c>
      <c r="B108" t="s">
        <v>86</v>
      </c>
      <c r="C108" s="11">
        <f>INDEX(PlasticsUse!$B$94:$L$111,MATCH(dataforsankey!$A108,PlasticsUse!$A$94:$A$108,0),MATCH(dataforsankey!$B108,PlasticsUse!$B$93:$L$93,0))</f>
        <v>0.22658575439314271</v>
      </c>
      <c r="G108" t="str">
        <f t="shared" si="13"/>
        <v>PP</v>
      </c>
      <c r="H108" t="str">
        <f t="shared" si="14"/>
        <v>Other End Use Markets</v>
      </c>
      <c r="I108">
        <f t="shared" si="15"/>
        <v>0.22658575439314271</v>
      </c>
      <c r="J108" t="str">
        <f t="shared" si="16"/>
        <v>PP</v>
      </c>
      <c r="M108" t="s">
        <v>891</v>
      </c>
      <c r="N108" t="s">
        <v>103</v>
      </c>
      <c r="O108" s="11">
        <f>_xlfn.IFNA(INDEX('Imports - Products'!$B$24:$G$40,MATCH(dataforsankey!$P108,'Imports - Products'!$A$24:$A$40,0),MATCH(dataforsankey!$N108,'Imports - Products'!$B$23:$G$23,0)),0)*10^-6</f>
        <v>0</v>
      </c>
      <c r="P108" t="s">
        <v>25</v>
      </c>
      <c r="S108" t="s">
        <v>25</v>
      </c>
      <c r="T108" t="s">
        <v>103</v>
      </c>
      <c r="U108" s="11">
        <f t="shared" si="10"/>
        <v>0</v>
      </c>
      <c r="V108" t="s">
        <v>25</v>
      </c>
      <c r="Y108" t="s">
        <v>25</v>
      </c>
      <c r="Z108" t="s">
        <v>103</v>
      </c>
      <c r="AA108" s="11">
        <f t="shared" si="11"/>
        <v>0</v>
      </c>
      <c r="AB108" t="s">
        <v>25</v>
      </c>
      <c r="AE108" t="s">
        <v>25</v>
      </c>
      <c r="AF108" t="s">
        <v>103</v>
      </c>
      <c r="AG108" s="11">
        <f t="shared" si="12"/>
        <v>0</v>
      </c>
      <c r="AH108" t="s">
        <v>25</v>
      </c>
    </row>
    <row r="109" spans="1:34" x14ac:dyDescent="0.2">
      <c r="A109" t="s">
        <v>10</v>
      </c>
      <c r="B109" t="s">
        <v>18</v>
      </c>
      <c r="C109" s="11">
        <f>INDEX(PlasticsUse!$B$94:$L$111,MATCH(dataforsankey!$A109,PlasticsUse!$A$94:$A$108,0),MATCH(dataforsankey!$B109,PlasticsUse!$B$93:$L$93,0))</f>
        <v>0.22658575439314271</v>
      </c>
      <c r="G109" t="str">
        <f t="shared" si="13"/>
        <v>PP</v>
      </c>
      <c r="H109" t="str">
        <f t="shared" si="14"/>
        <v>Exports</v>
      </c>
      <c r="I109">
        <f t="shared" si="15"/>
        <v>0.22658575439314271</v>
      </c>
      <c r="J109" t="str">
        <f t="shared" si="16"/>
        <v>PP</v>
      </c>
      <c r="M109" t="s">
        <v>891</v>
      </c>
      <c r="N109" t="s">
        <v>86</v>
      </c>
      <c r="O109" s="11">
        <f>_xlfn.IFNA(INDEX('Imports - Products'!$B$24:$G$40,MATCH(dataforsankey!$P109,'Imports - Products'!$A$24:$A$40,0),MATCH(dataforsankey!$N109,'Imports - Products'!$B$23:$G$23,0)),0)*10^-6</f>
        <v>0</v>
      </c>
      <c r="P109" t="s">
        <v>25</v>
      </c>
      <c r="S109" t="s">
        <v>25</v>
      </c>
      <c r="T109" t="s">
        <v>86</v>
      </c>
      <c r="U109" s="11">
        <f t="shared" si="10"/>
        <v>0.20617443319212375</v>
      </c>
      <c r="V109" t="s">
        <v>25</v>
      </c>
      <c r="Y109" t="s">
        <v>25</v>
      </c>
      <c r="Z109" t="s">
        <v>86</v>
      </c>
      <c r="AA109" s="11">
        <f t="shared" si="11"/>
        <v>0.20617443319212375</v>
      </c>
      <c r="AB109" t="s">
        <v>25</v>
      </c>
      <c r="AE109" t="s">
        <v>25</v>
      </c>
      <c r="AF109" t="s">
        <v>86</v>
      </c>
      <c r="AG109" s="11">
        <f t="shared" si="12"/>
        <v>0.20617443319212375</v>
      </c>
      <c r="AH109" t="s">
        <v>25</v>
      </c>
    </row>
    <row r="110" spans="1:34" x14ac:dyDescent="0.2">
      <c r="A110" t="s">
        <v>11</v>
      </c>
      <c r="B110" t="s">
        <v>38</v>
      </c>
      <c r="C110" s="11">
        <f>INDEX(PlasticsUse!$B$94:$L$111,MATCH(dataforsankey!$A110,PlasticsUse!$A$94:$A$108,0),MATCH(dataforsankey!$B110,PlasticsUse!$B$93:$L$93,0))</f>
        <v>0.21138337581885186</v>
      </c>
      <c r="G110" t="str">
        <f t="shared" si="13"/>
        <v>PS</v>
      </c>
      <c r="H110" t="str">
        <f t="shared" si="14"/>
        <v>Building and Construction</v>
      </c>
      <c r="I110">
        <f t="shared" si="15"/>
        <v>0.21138337581885186</v>
      </c>
      <c r="J110" t="str">
        <f t="shared" si="16"/>
        <v>PS</v>
      </c>
      <c r="M110" t="s">
        <v>891</v>
      </c>
      <c r="N110" t="s">
        <v>18</v>
      </c>
      <c r="O110" s="11">
        <f>_xlfn.IFNA(INDEX('Imports - Products'!$B$24:$G$40,MATCH(dataforsankey!$P110,'Imports - Products'!$A$24:$A$40,0),MATCH(dataforsankey!$N110,'Imports - Products'!$B$23:$G$23,0)),0)*10^-6</f>
        <v>0</v>
      </c>
      <c r="P110" t="s">
        <v>25</v>
      </c>
      <c r="S110" t="s">
        <v>25</v>
      </c>
      <c r="T110" t="s">
        <v>18</v>
      </c>
      <c r="U110" s="11">
        <f t="shared" si="10"/>
        <v>0.20617443319212375</v>
      </c>
      <c r="V110" t="s">
        <v>25</v>
      </c>
      <c r="Y110" t="s">
        <v>25</v>
      </c>
      <c r="Z110" t="s">
        <v>18</v>
      </c>
      <c r="AA110" s="11">
        <f t="shared" si="11"/>
        <v>0.20617443319212375</v>
      </c>
      <c r="AB110" t="s">
        <v>25</v>
      </c>
      <c r="AE110" t="s">
        <v>25</v>
      </c>
      <c r="AF110" t="s">
        <v>18</v>
      </c>
      <c r="AG110" s="11">
        <f t="shared" si="12"/>
        <v>0.20617443319212375</v>
      </c>
      <c r="AH110" t="s">
        <v>25</v>
      </c>
    </row>
    <row r="111" spans="1:34" x14ac:dyDescent="0.2">
      <c r="A111" t="s">
        <v>11</v>
      </c>
      <c r="B111" t="s">
        <v>99</v>
      </c>
      <c r="C111" s="11">
        <f>INDEX(PlasticsUse!$B$94:$L$111,MATCH(dataforsankey!$A111,PlasticsUse!$A$94:$A$108,0),MATCH(dataforsankey!$B111,PlasticsUse!$B$93:$L$93,0))</f>
        <v>0.23629328948926162</v>
      </c>
      <c r="G111" t="str">
        <f t="shared" si="13"/>
        <v>PS</v>
      </c>
      <c r="H111" t="str">
        <f t="shared" si="14"/>
        <v>Furniture and Furnishings</v>
      </c>
      <c r="I111">
        <f t="shared" si="15"/>
        <v>0.23629328948926162</v>
      </c>
      <c r="J111" t="str">
        <f t="shared" si="16"/>
        <v>PS</v>
      </c>
      <c r="M111" t="s">
        <v>891</v>
      </c>
      <c r="N111" t="s">
        <v>38</v>
      </c>
      <c r="O111" s="11">
        <f>_xlfn.IFNA(INDEX('Imports - Products'!$B$24:$G$40,MATCH(dataforsankey!$P111,'Imports - Products'!$A$24:$A$40,0),MATCH(dataforsankey!$N111,'Imports - Products'!$B$23:$G$23,0)),0)*10^-6</f>
        <v>0</v>
      </c>
      <c r="P111" t="s">
        <v>7</v>
      </c>
      <c r="S111" t="s">
        <v>7</v>
      </c>
      <c r="T111" t="s">
        <v>38</v>
      </c>
      <c r="U111" s="11">
        <f t="shared" si="10"/>
        <v>0.20617443319212375</v>
      </c>
      <c r="V111" t="s">
        <v>7</v>
      </c>
      <c r="Y111" t="s">
        <v>7</v>
      </c>
      <c r="Z111" t="s">
        <v>38</v>
      </c>
      <c r="AA111" s="11">
        <f t="shared" si="11"/>
        <v>0.20617443319212375</v>
      </c>
      <c r="AB111" t="s">
        <v>7</v>
      </c>
      <c r="AE111" t="s">
        <v>7</v>
      </c>
      <c r="AF111" t="s">
        <v>38</v>
      </c>
      <c r="AG111" s="11">
        <f t="shared" si="12"/>
        <v>0.20617443319212375</v>
      </c>
      <c r="AH111" t="s">
        <v>7</v>
      </c>
    </row>
    <row r="112" spans="1:34" x14ac:dyDescent="0.2">
      <c r="A112" t="s">
        <v>11</v>
      </c>
      <c r="B112" t="s">
        <v>69</v>
      </c>
      <c r="C112" s="11">
        <f>INDEX(PlasticsUse!$B$94:$L$111,MATCH(dataforsankey!$A112,PlasticsUse!$A$94:$A$108,0),MATCH(dataforsankey!$B112,PlasticsUse!$B$93:$L$93,0))</f>
        <v>0.26313685388156899</v>
      </c>
      <c r="G112" t="str">
        <f t="shared" si="13"/>
        <v>PS</v>
      </c>
      <c r="H112" t="str">
        <f t="shared" si="14"/>
        <v>Transportation</v>
      </c>
      <c r="I112">
        <f t="shared" si="15"/>
        <v>0.26313685388156899</v>
      </c>
      <c r="J112" t="str">
        <f t="shared" si="16"/>
        <v>PS</v>
      </c>
      <c r="M112" t="s">
        <v>891</v>
      </c>
      <c r="N112" t="s">
        <v>99</v>
      </c>
      <c r="O112" s="11">
        <f>_xlfn.IFNA(INDEX('Imports - Products'!$B$24:$G$40,MATCH(dataforsankey!$P112,'Imports - Products'!$A$24:$A$40,0),MATCH(dataforsankey!$N112,'Imports - Products'!$B$23:$G$23,0)),0)*10^-6</f>
        <v>2.6174496629540731E-2</v>
      </c>
      <c r="P112" t="s">
        <v>7</v>
      </c>
      <c r="S112" t="s">
        <v>7</v>
      </c>
      <c r="T112" t="s">
        <v>99</v>
      </c>
      <c r="U112" s="11">
        <f t="shared" si="10"/>
        <v>0.20617443319212375</v>
      </c>
      <c r="V112" t="s">
        <v>7</v>
      </c>
      <c r="Y112" t="s">
        <v>7</v>
      </c>
      <c r="Z112" t="s">
        <v>99</v>
      </c>
      <c r="AA112" s="11">
        <f t="shared" si="11"/>
        <v>0.20617443319212375</v>
      </c>
      <c r="AB112" t="s">
        <v>7</v>
      </c>
      <c r="AE112" t="s">
        <v>7</v>
      </c>
      <c r="AF112" t="s">
        <v>99</v>
      </c>
      <c r="AG112" s="11">
        <f t="shared" si="12"/>
        <v>0.20617443319212375</v>
      </c>
      <c r="AH112" t="s">
        <v>7</v>
      </c>
    </row>
    <row r="113" spans="1:34" x14ac:dyDescent="0.2">
      <c r="A113" t="s">
        <v>11</v>
      </c>
      <c r="B113" t="s">
        <v>100</v>
      </c>
      <c r="C113" s="11">
        <f>INDEX(PlasticsUse!$B$94:$L$111,MATCH(dataforsankey!$A113,PlasticsUse!$A$94:$A$108,0),MATCH(dataforsankey!$B113,PlasticsUse!$B$93:$L$93,0))</f>
        <v>0.21138337581885186</v>
      </c>
      <c r="G113" t="str">
        <f t="shared" si="13"/>
        <v>PS</v>
      </c>
      <c r="H113" t="str">
        <f t="shared" si="14"/>
        <v>Industrial/Machinery</v>
      </c>
      <c r="I113">
        <f t="shared" si="15"/>
        <v>0.21138337581885186</v>
      </c>
      <c r="J113" t="str">
        <f t="shared" si="16"/>
        <v>PS</v>
      </c>
      <c r="M113" t="s">
        <v>891</v>
      </c>
      <c r="N113" t="s">
        <v>69</v>
      </c>
      <c r="O113" s="11">
        <f>_xlfn.IFNA(INDEX('Imports - Products'!$B$24:$G$40,MATCH(dataforsankey!$P113,'Imports - Products'!$A$24:$A$40,0),MATCH(dataforsankey!$N113,'Imports - Products'!$B$23:$G$23,0)),0)*10^-6</f>
        <v>5.4380808181151624E-2</v>
      </c>
      <c r="P113" t="s">
        <v>7</v>
      </c>
      <c r="S113" t="s">
        <v>7</v>
      </c>
      <c r="T113" t="s">
        <v>69</v>
      </c>
      <c r="U113" s="11">
        <f t="shared" si="10"/>
        <v>0.20617443319212375</v>
      </c>
      <c r="V113" t="s">
        <v>7</v>
      </c>
      <c r="Y113" t="s">
        <v>7</v>
      </c>
      <c r="Z113" t="s">
        <v>69</v>
      </c>
      <c r="AA113" s="11">
        <f t="shared" si="11"/>
        <v>0.20617443319212375</v>
      </c>
      <c r="AB113" t="s">
        <v>7</v>
      </c>
      <c r="AE113" t="s">
        <v>7</v>
      </c>
      <c r="AF113" t="s">
        <v>69</v>
      </c>
      <c r="AG113" s="11">
        <f t="shared" si="12"/>
        <v>0.20617443319212375</v>
      </c>
      <c r="AH113" t="s">
        <v>7</v>
      </c>
    </row>
    <row r="114" spans="1:34" x14ac:dyDescent="0.2">
      <c r="A114" t="s">
        <v>11</v>
      </c>
      <c r="B114" t="s">
        <v>39</v>
      </c>
      <c r="C114" s="11">
        <f>INDEX(PlasticsUse!$B$94:$L$111,MATCH(dataforsankey!$A114,PlasticsUse!$A$94:$A$108,0),MATCH(dataforsankey!$B114,PlasticsUse!$B$93:$L$93,0))</f>
        <v>0.25181730137828473</v>
      </c>
      <c r="G114" t="str">
        <f t="shared" si="13"/>
        <v>PS</v>
      </c>
      <c r="H114" t="str">
        <f t="shared" si="14"/>
        <v>Packaging</v>
      </c>
      <c r="I114">
        <f t="shared" si="15"/>
        <v>0.25181730137828473</v>
      </c>
      <c r="J114" t="str">
        <f t="shared" si="16"/>
        <v>PS</v>
      </c>
      <c r="M114" t="s">
        <v>891</v>
      </c>
      <c r="N114" t="s">
        <v>100</v>
      </c>
      <c r="O114" s="11">
        <f>_xlfn.IFNA(INDEX('Imports - Products'!$B$24:$G$40,MATCH(dataforsankey!$P114,'Imports - Products'!$A$24:$A$40,0),MATCH(dataforsankey!$N114,'Imports - Products'!$B$23:$G$23,0)),0)*10^-6</f>
        <v>0</v>
      </c>
      <c r="P114" t="s">
        <v>7</v>
      </c>
      <c r="S114" t="s">
        <v>7</v>
      </c>
      <c r="T114" t="s">
        <v>100</v>
      </c>
      <c r="U114" s="11">
        <f t="shared" si="10"/>
        <v>0.20617443319212375</v>
      </c>
      <c r="V114" t="s">
        <v>7</v>
      </c>
      <c r="Y114" t="s">
        <v>7</v>
      </c>
      <c r="Z114" t="s">
        <v>100</v>
      </c>
      <c r="AA114" s="11">
        <f t="shared" si="11"/>
        <v>0.20617443319212375</v>
      </c>
      <c r="AB114" t="s">
        <v>7</v>
      </c>
      <c r="AE114" t="s">
        <v>7</v>
      </c>
      <c r="AF114" t="s">
        <v>100</v>
      </c>
      <c r="AG114" s="11">
        <f t="shared" si="12"/>
        <v>0.20617443319212375</v>
      </c>
      <c r="AH114" t="s">
        <v>7</v>
      </c>
    </row>
    <row r="115" spans="1:34" x14ac:dyDescent="0.2">
      <c r="A115" t="s">
        <v>11</v>
      </c>
      <c r="B115" t="s">
        <v>68</v>
      </c>
      <c r="C115" s="11">
        <f>INDEX(PlasticsUse!$B$94:$L$111,MATCH(dataforsankey!$A115,PlasticsUse!$A$94:$A$108,0),MATCH(dataforsankey!$B115,PlasticsUse!$B$93:$L$93,0))</f>
        <v>0.27747287364248452</v>
      </c>
      <c r="G115" t="str">
        <f t="shared" si="13"/>
        <v>PS</v>
      </c>
      <c r="H115" t="str">
        <f t="shared" si="14"/>
        <v>Electrical/Electronic</v>
      </c>
      <c r="I115">
        <f t="shared" si="15"/>
        <v>0.27747287364248452</v>
      </c>
      <c r="J115" t="str">
        <f t="shared" si="16"/>
        <v>PS</v>
      </c>
      <c r="M115" t="s">
        <v>891</v>
      </c>
      <c r="N115" t="s">
        <v>39</v>
      </c>
      <c r="O115" s="11">
        <f>_xlfn.IFNA(INDEX('Imports - Products'!$B$24:$G$40,MATCH(dataforsankey!$P115,'Imports - Products'!$A$24:$A$40,0),MATCH(dataforsankey!$N115,'Imports - Products'!$B$23:$G$23,0)),0)*10^-6</f>
        <v>4.2486604420940446E-2</v>
      </c>
      <c r="P115" t="s">
        <v>7</v>
      </c>
      <c r="S115" t="s">
        <v>7</v>
      </c>
      <c r="T115" t="s">
        <v>39</v>
      </c>
      <c r="U115" s="11">
        <f t="shared" si="10"/>
        <v>0.20617443319212375</v>
      </c>
      <c r="V115" t="s">
        <v>7</v>
      </c>
      <c r="Y115" t="s">
        <v>7</v>
      </c>
      <c r="Z115" t="s">
        <v>39</v>
      </c>
      <c r="AA115" s="11">
        <f t="shared" si="11"/>
        <v>0.20617443319212375</v>
      </c>
      <c r="AB115" t="s">
        <v>7</v>
      </c>
      <c r="AE115" t="s">
        <v>7</v>
      </c>
      <c r="AF115" t="s">
        <v>39</v>
      </c>
      <c r="AG115" s="11">
        <f t="shared" si="12"/>
        <v>0.20617443319212375</v>
      </c>
      <c r="AH115" t="s">
        <v>7</v>
      </c>
    </row>
    <row r="116" spans="1:34" x14ac:dyDescent="0.2">
      <c r="A116" t="s">
        <v>11</v>
      </c>
      <c r="B116" t="s">
        <v>91</v>
      </c>
      <c r="C116" s="11" t="e">
        <f>INDEX(PlasticsUse!$B$94:$L$111,MATCH(dataforsankey!$A116,PlasticsUse!$A$94:$A$108,0),MATCH(dataforsankey!$B116,PlasticsUse!$B$93:$L$93,0))</f>
        <v>#N/A</v>
      </c>
      <c r="G116" t="str">
        <f t="shared" si="13"/>
        <v>PS</v>
      </c>
      <c r="H116" t="str">
        <f t="shared" si="14"/>
        <v>Consumer and Insitutional</v>
      </c>
      <c r="I116" t="e">
        <f t="shared" si="15"/>
        <v>#N/A</v>
      </c>
      <c r="J116" t="str">
        <f t="shared" si="16"/>
        <v>PS</v>
      </c>
      <c r="M116" t="s">
        <v>891</v>
      </c>
      <c r="N116" t="s">
        <v>68</v>
      </c>
      <c r="O116" s="11">
        <f>_xlfn.IFNA(INDEX('Imports - Products'!$B$24:$G$40,MATCH(dataforsankey!$P116,'Imports - Products'!$A$24:$A$40,0),MATCH(dataforsankey!$N116,'Imports - Products'!$B$23:$G$23,0)),0)*10^-6</f>
        <v>6.9444613936482463E-2</v>
      </c>
      <c r="P116" t="s">
        <v>7</v>
      </c>
      <c r="S116" t="s">
        <v>7</v>
      </c>
      <c r="T116" t="s">
        <v>68</v>
      </c>
      <c r="U116" s="11">
        <f t="shared" si="10"/>
        <v>0.20617443319212375</v>
      </c>
      <c r="V116" t="s">
        <v>7</v>
      </c>
      <c r="Y116" t="s">
        <v>7</v>
      </c>
      <c r="Z116" t="s">
        <v>68</v>
      </c>
      <c r="AA116" s="11">
        <f t="shared" si="11"/>
        <v>0.20617443319212375</v>
      </c>
      <c r="AB116" t="s">
        <v>7</v>
      </c>
      <c r="AE116" t="s">
        <v>7</v>
      </c>
      <c r="AF116" t="s">
        <v>68</v>
      </c>
      <c r="AG116" s="11">
        <f t="shared" si="12"/>
        <v>0.20617443319212375</v>
      </c>
      <c r="AH116" t="s">
        <v>7</v>
      </c>
    </row>
    <row r="117" spans="1:34" x14ac:dyDescent="0.2">
      <c r="A117" t="s">
        <v>11</v>
      </c>
      <c r="B117" t="s">
        <v>92</v>
      </c>
      <c r="C117" s="11">
        <f>INDEX(PlasticsUse!$B$94:$L$111,MATCH(dataforsankey!$A117,PlasticsUse!$A$94:$A$108,0),MATCH(dataforsankey!$B117,PlasticsUse!$B$93:$L$93,0))</f>
        <v>0.21138337581885186</v>
      </c>
      <c r="G117" t="str">
        <f t="shared" si="13"/>
        <v>PS</v>
      </c>
      <c r="H117" t="str">
        <f t="shared" si="14"/>
        <v>Adhesives/Inks/Coatings</v>
      </c>
      <c r="I117">
        <f t="shared" si="15"/>
        <v>0.21138337581885186</v>
      </c>
      <c r="J117" t="str">
        <f t="shared" si="16"/>
        <v>PS</v>
      </c>
      <c r="M117" t="s">
        <v>891</v>
      </c>
      <c r="N117" t="s">
        <v>63</v>
      </c>
      <c r="O117" s="11">
        <f>_xlfn.IFNA(INDEX('Imports - Products'!$B$24:$G$40,MATCH(dataforsankey!$P117,'Imports - Products'!$A$24:$A$40,0),MATCH(dataforsankey!$N117,'Imports - Products'!$B$23:$G$23,0)),0)*10^-6</f>
        <v>2.6056356123155343E-2</v>
      </c>
      <c r="P117" t="s">
        <v>7</v>
      </c>
      <c r="S117" t="s">
        <v>7</v>
      </c>
      <c r="T117" t="s">
        <v>63</v>
      </c>
      <c r="U117" s="11">
        <f t="shared" si="10"/>
        <v>0.20617443319212375</v>
      </c>
      <c r="V117" t="s">
        <v>7</v>
      </c>
      <c r="Y117" t="s">
        <v>7</v>
      </c>
      <c r="Z117" t="s">
        <v>63</v>
      </c>
      <c r="AA117" s="11">
        <f t="shared" si="11"/>
        <v>0.20617443319212375</v>
      </c>
      <c r="AB117" t="s">
        <v>7</v>
      </c>
      <c r="AE117" t="s">
        <v>7</v>
      </c>
      <c r="AF117" t="s">
        <v>63</v>
      </c>
      <c r="AG117" s="11">
        <f t="shared" si="12"/>
        <v>0.20617443319212375</v>
      </c>
      <c r="AH117" t="s">
        <v>7</v>
      </c>
    </row>
    <row r="118" spans="1:34" x14ac:dyDescent="0.2">
      <c r="A118" t="s">
        <v>11</v>
      </c>
      <c r="B118" t="s">
        <v>103</v>
      </c>
      <c r="C118" s="11">
        <f>INDEX(PlasticsUse!$B$94:$L$111,MATCH(dataforsankey!$A118,PlasticsUse!$A$94:$A$108,0),MATCH(dataforsankey!$B118,PlasticsUse!$B$93:$L$93,0))</f>
        <v>0</v>
      </c>
      <c r="G118" t="str">
        <f t="shared" si="13"/>
        <v>PS</v>
      </c>
      <c r="H118" t="str">
        <f t="shared" si="14"/>
        <v>Textiles, Fibers and Apparel</v>
      </c>
      <c r="I118">
        <f t="shared" si="15"/>
        <v>0</v>
      </c>
      <c r="J118" t="str">
        <f t="shared" si="16"/>
        <v>PS</v>
      </c>
      <c r="M118" t="s">
        <v>891</v>
      </c>
      <c r="N118" t="s">
        <v>92</v>
      </c>
      <c r="O118" s="11">
        <f>_xlfn.IFNA(INDEX('Imports - Products'!$B$24:$G$40,MATCH(dataforsankey!$P118,'Imports - Products'!$A$24:$A$40,0),MATCH(dataforsankey!$N118,'Imports - Products'!$B$23:$G$23,0)),0)*10^-6</f>
        <v>0</v>
      </c>
      <c r="P118" t="s">
        <v>7</v>
      </c>
      <c r="S118" t="s">
        <v>7</v>
      </c>
      <c r="T118" t="s">
        <v>92</v>
      </c>
      <c r="U118" s="11">
        <f t="shared" si="10"/>
        <v>0.20617443319212375</v>
      </c>
      <c r="V118" t="s">
        <v>7</v>
      </c>
      <c r="Y118" t="s">
        <v>7</v>
      </c>
      <c r="Z118" t="s">
        <v>92</v>
      </c>
      <c r="AA118" s="11">
        <f t="shared" si="11"/>
        <v>0.20617443319212375</v>
      </c>
      <c r="AB118" t="s">
        <v>7</v>
      </c>
      <c r="AE118" t="s">
        <v>7</v>
      </c>
      <c r="AF118" t="s">
        <v>92</v>
      </c>
      <c r="AG118" s="11">
        <f t="shared" si="12"/>
        <v>0.20617443319212375</v>
      </c>
      <c r="AH118" t="s">
        <v>7</v>
      </c>
    </row>
    <row r="119" spans="1:34" x14ac:dyDescent="0.2">
      <c r="A119" t="s">
        <v>11</v>
      </c>
      <c r="B119" t="s">
        <v>86</v>
      </c>
      <c r="C119" s="11">
        <f>INDEX(PlasticsUse!$B$94:$L$111,MATCH(dataforsankey!$A119,PlasticsUse!$A$94:$A$108,0),MATCH(dataforsankey!$B119,PlasticsUse!$B$93:$L$93,0))</f>
        <v>0.21138337581885186</v>
      </c>
      <c r="G119" t="str">
        <f t="shared" si="13"/>
        <v>PS</v>
      </c>
      <c r="H119" t="str">
        <f t="shared" si="14"/>
        <v>Other End Use Markets</v>
      </c>
      <c r="I119">
        <f t="shared" si="15"/>
        <v>0.21138337581885186</v>
      </c>
      <c r="J119" t="str">
        <f t="shared" si="16"/>
        <v>PS</v>
      </c>
      <c r="M119" t="s">
        <v>891</v>
      </c>
      <c r="N119" t="s">
        <v>103</v>
      </c>
      <c r="O119" s="11">
        <f>_xlfn.IFNA(INDEX('Imports - Products'!$B$24:$G$40,MATCH(dataforsankey!$P119,'Imports - Products'!$A$24:$A$40,0),MATCH(dataforsankey!$N119,'Imports - Products'!$B$23:$G$23,0)),0)*10^-6</f>
        <v>0</v>
      </c>
      <c r="P119" t="s">
        <v>7</v>
      </c>
      <c r="S119" t="s">
        <v>7</v>
      </c>
      <c r="T119" t="s">
        <v>103</v>
      </c>
      <c r="U119" s="11">
        <f t="shared" si="10"/>
        <v>0</v>
      </c>
      <c r="V119" t="s">
        <v>7</v>
      </c>
      <c r="Y119" t="s">
        <v>7</v>
      </c>
      <c r="Z119" t="s">
        <v>103</v>
      </c>
      <c r="AA119" s="11">
        <f t="shared" ref="AA119:AA150" si="17">SUMIFS($O$23:$O$953,$M$23:$M$953,Y119,$N$23:$N$953,Z119,$P$23:$P$953,AB119)</f>
        <v>0</v>
      </c>
      <c r="AB119" t="s">
        <v>7</v>
      </c>
      <c r="AE119" t="s">
        <v>7</v>
      </c>
      <c r="AF119" t="s">
        <v>103</v>
      </c>
      <c r="AG119" s="11">
        <f t="shared" ref="AG119:AG150" si="18">SUMIFS($O$23:$O$953,$M$23:$M$953,AE119,$N$23:$N$953,AF119,$P$23:$P$953,AH119)</f>
        <v>0</v>
      </c>
      <c r="AH119" t="s">
        <v>7</v>
      </c>
    </row>
    <row r="120" spans="1:34" x14ac:dyDescent="0.2">
      <c r="A120" t="s">
        <v>11</v>
      </c>
      <c r="B120" t="s">
        <v>18</v>
      </c>
      <c r="C120" s="11">
        <f>INDEX(PlasticsUse!$B$94:$L$111,MATCH(dataforsankey!$A120,PlasticsUse!$A$94:$A$108,0),MATCH(dataforsankey!$B120,PlasticsUse!$B$93:$L$93,0))</f>
        <v>0.21138337581885186</v>
      </c>
      <c r="G120" t="str">
        <f t="shared" si="13"/>
        <v>PS</v>
      </c>
      <c r="H120" t="str">
        <f t="shared" si="14"/>
        <v>Exports</v>
      </c>
      <c r="I120">
        <f t="shared" si="15"/>
        <v>0.21138337581885186</v>
      </c>
      <c r="J120" t="str">
        <f t="shared" si="16"/>
        <v>PS</v>
      </c>
      <c r="M120" t="s">
        <v>891</v>
      </c>
      <c r="N120" t="s">
        <v>86</v>
      </c>
      <c r="O120" s="11">
        <f>_xlfn.IFNA(INDEX('Imports - Products'!$B$24:$G$40,MATCH(dataforsankey!$P120,'Imports - Products'!$A$24:$A$40,0),MATCH(dataforsankey!$N120,'Imports - Products'!$B$23:$G$23,0)),0)*10^-6</f>
        <v>0</v>
      </c>
      <c r="P120" t="s">
        <v>7</v>
      </c>
      <c r="S120" t="s">
        <v>7</v>
      </c>
      <c r="T120" t="s">
        <v>86</v>
      </c>
      <c r="U120" s="11">
        <f t="shared" si="10"/>
        <v>0.20617443319212375</v>
      </c>
      <c r="V120" t="s">
        <v>7</v>
      </c>
      <c r="Y120" t="s">
        <v>7</v>
      </c>
      <c r="Z120" t="s">
        <v>86</v>
      </c>
      <c r="AA120" s="11">
        <f t="shared" si="17"/>
        <v>0.20617443319212375</v>
      </c>
      <c r="AB120" t="s">
        <v>7</v>
      </c>
      <c r="AE120" t="s">
        <v>7</v>
      </c>
      <c r="AF120" t="s">
        <v>86</v>
      </c>
      <c r="AG120" s="11">
        <f t="shared" si="18"/>
        <v>0.20617443319212375</v>
      </c>
      <c r="AH120" t="s">
        <v>7</v>
      </c>
    </row>
    <row r="121" spans="1:34" x14ac:dyDescent="0.2">
      <c r="A121" t="s">
        <v>127</v>
      </c>
      <c r="B121" t="s">
        <v>38</v>
      </c>
      <c r="C121" s="11">
        <f>INDEX(PlasticsUse!$B$94:$L$111,MATCH(dataforsankey!$A121,PlasticsUse!$A$94:$A$108,0),MATCH(dataforsankey!$B121,PlasticsUse!$B$93:$L$93,0))</f>
        <v>0</v>
      </c>
      <c r="G121" t="str">
        <f t="shared" si="13"/>
        <v>Other thermosets</v>
      </c>
      <c r="H121" t="str">
        <f t="shared" si="14"/>
        <v>Building and Construction</v>
      </c>
      <c r="I121">
        <f t="shared" si="15"/>
        <v>0</v>
      </c>
      <c r="J121" t="str">
        <f t="shared" si="16"/>
        <v>Other thermosets</v>
      </c>
      <c r="M121" t="s">
        <v>891</v>
      </c>
      <c r="N121" t="s">
        <v>18</v>
      </c>
      <c r="O121" s="11">
        <f>_xlfn.IFNA(INDEX('Imports - Products'!$B$24:$G$40,MATCH(dataforsankey!$P121,'Imports - Products'!$A$24:$A$40,0),MATCH(dataforsankey!$N121,'Imports - Products'!$B$23:$G$23,0)),0)*10^-6</f>
        <v>0</v>
      </c>
      <c r="P121" t="s">
        <v>7</v>
      </c>
      <c r="S121" t="s">
        <v>7</v>
      </c>
      <c r="T121" t="s">
        <v>18</v>
      </c>
      <c r="U121" s="11">
        <f t="shared" si="10"/>
        <v>0.20617443319212375</v>
      </c>
      <c r="V121" t="s">
        <v>7</v>
      </c>
      <c r="Y121" t="s">
        <v>7</v>
      </c>
      <c r="Z121" t="s">
        <v>18</v>
      </c>
      <c r="AA121" s="11">
        <f t="shared" si="17"/>
        <v>0.20617443319212375</v>
      </c>
      <c r="AB121" t="s">
        <v>7</v>
      </c>
      <c r="AE121" t="s">
        <v>7</v>
      </c>
      <c r="AF121" t="s">
        <v>18</v>
      </c>
      <c r="AG121" s="11">
        <f t="shared" si="18"/>
        <v>0.20617443319212375</v>
      </c>
      <c r="AH121" t="s">
        <v>7</v>
      </c>
    </row>
    <row r="122" spans="1:34" x14ac:dyDescent="0.2">
      <c r="A122" t="s">
        <v>127</v>
      </c>
      <c r="B122" t="s">
        <v>99</v>
      </c>
      <c r="C122" s="11">
        <f>INDEX(PlasticsUse!$B$94:$L$111,MATCH(dataforsankey!$A122,PlasticsUse!$A$94:$A$108,0),MATCH(dataforsankey!$B122,PlasticsUse!$B$93:$L$93,0))</f>
        <v>0</v>
      </c>
      <c r="G122" t="str">
        <f t="shared" si="13"/>
        <v>Other thermosets</v>
      </c>
      <c r="H122" t="str">
        <f t="shared" si="14"/>
        <v>Furniture and Furnishings</v>
      </c>
      <c r="I122">
        <f t="shared" si="15"/>
        <v>0</v>
      </c>
      <c r="J122" t="str">
        <f t="shared" si="16"/>
        <v>Other thermosets</v>
      </c>
      <c r="M122" t="s">
        <v>891</v>
      </c>
      <c r="N122" t="s">
        <v>38</v>
      </c>
      <c r="O122" s="11">
        <f>_xlfn.IFNA(INDEX('Imports - Products'!$B$24:$G$40,MATCH(dataforsankey!$P122,'Imports - Products'!$A$24:$A$40,0),MATCH(dataforsankey!$N122,'Imports - Products'!$B$23:$G$23,0)),0)*10^-6</f>
        <v>0</v>
      </c>
      <c r="P122" t="s">
        <v>2</v>
      </c>
      <c r="S122" t="s">
        <v>2</v>
      </c>
      <c r="T122" t="s">
        <v>38</v>
      </c>
      <c r="U122" s="11">
        <f t="shared" si="10"/>
        <v>0</v>
      </c>
      <c r="V122" t="s">
        <v>2</v>
      </c>
      <c r="Y122" t="s">
        <v>2</v>
      </c>
      <c r="Z122" t="s">
        <v>38</v>
      </c>
      <c r="AA122" s="11">
        <f t="shared" si="17"/>
        <v>0</v>
      </c>
      <c r="AB122" t="s">
        <v>2</v>
      </c>
      <c r="AE122" t="s">
        <v>2</v>
      </c>
      <c r="AF122" t="s">
        <v>38</v>
      </c>
      <c r="AG122" s="11">
        <f t="shared" si="18"/>
        <v>0</v>
      </c>
      <c r="AH122" t="s">
        <v>2</v>
      </c>
    </row>
    <row r="123" spans="1:34" x14ac:dyDescent="0.2">
      <c r="A123" t="s">
        <v>127</v>
      </c>
      <c r="B123" t="s">
        <v>69</v>
      </c>
      <c r="C123" s="11">
        <f>INDEX(PlasticsUse!$B$94:$L$111,MATCH(dataforsankey!$A123,PlasticsUse!$A$94:$A$108,0),MATCH(dataforsankey!$B123,PlasticsUse!$B$93:$L$93,0))</f>
        <v>0</v>
      </c>
      <c r="G123" t="str">
        <f t="shared" si="13"/>
        <v>Other thermosets</v>
      </c>
      <c r="H123" t="str">
        <f t="shared" si="14"/>
        <v>Transportation</v>
      </c>
      <c r="I123">
        <f t="shared" si="15"/>
        <v>0</v>
      </c>
      <c r="J123" t="str">
        <f t="shared" si="16"/>
        <v>Other thermosets</v>
      </c>
      <c r="M123" t="s">
        <v>891</v>
      </c>
      <c r="N123" t="s">
        <v>99</v>
      </c>
      <c r="O123" s="11">
        <f>_xlfn.IFNA(INDEX('Imports - Products'!$B$24:$G$40,MATCH(dataforsankey!$P123,'Imports - Products'!$A$24:$A$40,0),MATCH(dataforsankey!$N123,'Imports - Products'!$B$23:$G$23,0)),0)*10^-6</f>
        <v>0</v>
      </c>
      <c r="P123" t="s">
        <v>2</v>
      </c>
      <c r="S123" t="s">
        <v>2</v>
      </c>
      <c r="T123" t="s">
        <v>99</v>
      </c>
      <c r="U123" s="11">
        <f t="shared" si="10"/>
        <v>0</v>
      </c>
      <c r="V123" t="s">
        <v>2</v>
      </c>
      <c r="Y123" t="s">
        <v>2</v>
      </c>
      <c r="Z123" t="s">
        <v>99</v>
      </c>
      <c r="AA123" s="11">
        <f t="shared" si="17"/>
        <v>0</v>
      </c>
      <c r="AB123" t="s">
        <v>2</v>
      </c>
      <c r="AE123" t="s">
        <v>2</v>
      </c>
      <c r="AF123" t="s">
        <v>99</v>
      </c>
      <c r="AG123" s="11">
        <f t="shared" si="18"/>
        <v>0</v>
      </c>
      <c r="AH123" t="s">
        <v>2</v>
      </c>
    </row>
    <row r="124" spans="1:34" x14ac:dyDescent="0.2">
      <c r="A124" t="s">
        <v>127</v>
      </c>
      <c r="B124" t="s">
        <v>100</v>
      </c>
      <c r="C124" s="11">
        <f>INDEX(PlasticsUse!$B$94:$L$111,MATCH(dataforsankey!$A124,PlasticsUse!$A$94:$A$108,0),MATCH(dataforsankey!$B124,PlasticsUse!$B$93:$L$93,0))</f>
        <v>0</v>
      </c>
      <c r="G124" t="str">
        <f t="shared" si="13"/>
        <v>Other thermosets</v>
      </c>
      <c r="H124" t="str">
        <f t="shared" si="14"/>
        <v>Industrial/Machinery</v>
      </c>
      <c r="I124">
        <f t="shared" si="15"/>
        <v>0</v>
      </c>
      <c r="J124" t="str">
        <f t="shared" si="16"/>
        <v>Other thermosets</v>
      </c>
      <c r="M124" t="s">
        <v>891</v>
      </c>
      <c r="N124" t="s">
        <v>69</v>
      </c>
      <c r="O124" s="11">
        <f>_xlfn.IFNA(INDEX('Imports - Products'!$B$24:$G$40,MATCH(dataforsankey!$P124,'Imports - Products'!$A$24:$A$40,0),MATCH(dataforsankey!$N124,'Imports - Products'!$B$23:$G$23,0)),0)*10^-6</f>
        <v>0</v>
      </c>
      <c r="P124" t="s">
        <v>2</v>
      </c>
      <c r="S124" t="s">
        <v>2</v>
      </c>
      <c r="T124" t="s">
        <v>69</v>
      </c>
      <c r="U124" s="11">
        <f t="shared" si="10"/>
        <v>0</v>
      </c>
      <c r="V124" t="s">
        <v>2</v>
      </c>
      <c r="Y124" t="s">
        <v>2</v>
      </c>
      <c r="Z124" t="s">
        <v>69</v>
      </c>
      <c r="AA124" s="11">
        <f t="shared" si="17"/>
        <v>0</v>
      </c>
      <c r="AB124" t="s">
        <v>2</v>
      </c>
      <c r="AE124" t="s">
        <v>2</v>
      </c>
      <c r="AF124" t="s">
        <v>69</v>
      </c>
      <c r="AG124" s="11">
        <f t="shared" si="18"/>
        <v>0</v>
      </c>
      <c r="AH124" t="s">
        <v>2</v>
      </c>
    </row>
    <row r="125" spans="1:34" x14ac:dyDescent="0.2">
      <c r="A125" t="s">
        <v>127</v>
      </c>
      <c r="B125" t="s">
        <v>39</v>
      </c>
      <c r="C125" s="11">
        <f>INDEX(PlasticsUse!$B$94:$L$111,MATCH(dataforsankey!$A125,PlasticsUse!$A$94:$A$108,0),MATCH(dataforsankey!$B125,PlasticsUse!$B$93:$L$93,0))</f>
        <v>0</v>
      </c>
      <c r="G125" t="str">
        <f t="shared" si="13"/>
        <v>Other thermosets</v>
      </c>
      <c r="H125" t="str">
        <f t="shared" si="14"/>
        <v>Packaging</v>
      </c>
      <c r="I125">
        <f t="shared" si="15"/>
        <v>0</v>
      </c>
      <c r="J125" t="str">
        <f t="shared" si="16"/>
        <v>Other thermosets</v>
      </c>
      <c r="M125" t="s">
        <v>891</v>
      </c>
      <c r="N125" t="s">
        <v>100</v>
      </c>
      <c r="O125" s="11">
        <f>_xlfn.IFNA(INDEX('Imports - Products'!$B$24:$G$40,MATCH(dataforsankey!$P125,'Imports - Products'!$A$24:$A$40,0),MATCH(dataforsankey!$N125,'Imports - Products'!$B$23:$G$23,0)),0)*10^-6</f>
        <v>0</v>
      </c>
      <c r="P125" t="s">
        <v>2</v>
      </c>
      <c r="S125" t="s">
        <v>2</v>
      </c>
      <c r="T125" t="s">
        <v>100</v>
      </c>
      <c r="U125" s="11">
        <f t="shared" si="10"/>
        <v>0</v>
      </c>
      <c r="V125" t="s">
        <v>2</v>
      </c>
      <c r="Y125" t="s">
        <v>2</v>
      </c>
      <c r="Z125" t="s">
        <v>100</v>
      </c>
      <c r="AA125" s="11">
        <f t="shared" si="17"/>
        <v>0</v>
      </c>
      <c r="AB125" t="s">
        <v>2</v>
      </c>
      <c r="AE125" t="s">
        <v>2</v>
      </c>
      <c r="AF125" t="s">
        <v>100</v>
      </c>
      <c r="AG125" s="11">
        <f t="shared" si="18"/>
        <v>0</v>
      </c>
      <c r="AH125" t="s">
        <v>2</v>
      </c>
    </row>
    <row r="126" spans="1:34" x14ac:dyDescent="0.2">
      <c r="A126" t="s">
        <v>127</v>
      </c>
      <c r="B126" t="s">
        <v>68</v>
      </c>
      <c r="C126" s="11">
        <f>INDEX(PlasticsUse!$B$94:$L$111,MATCH(dataforsankey!$A126,PlasticsUse!$A$94:$A$108,0),MATCH(dataforsankey!$B126,PlasticsUse!$B$93:$L$93,0))</f>
        <v>0</v>
      </c>
      <c r="G126" t="str">
        <f t="shared" si="13"/>
        <v>Other thermosets</v>
      </c>
      <c r="H126" t="str">
        <f t="shared" si="14"/>
        <v>Electrical/Electronic</v>
      </c>
      <c r="I126">
        <f t="shared" si="15"/>
        <v>0</v>
      </c>
      <c r="J126" t="str">
        <f t="shared" si="16"/>
        <v>Other thermosets</v>
      </c>
      <c r="M126" t="s">
        <v>891</v>
      </c>
      <c r="N126" t="s">
        <v>39</v>
      </c>
      <c r="O126" s="11">
        <f>_xlfn.IFNA(INDEX('Imports - Products'!$B$24:$G$40,MATCH(dataforsankey!$P126,'Imports - Products'!$A$24:$A$40,0),MATCH(dataforsankey!$N126,'Imports - Products'!$B$23:$G$23,0)),0)*10^-6</f>
        <v>0.52129765829887453</v>
      </c>
      <c r="P126" t="s">
        <v>2</v>
      </c>
      <c r="S126" t="s">
        <v>2</v>
      </c>
      <c r="T126" t="s">
        <v>39</v>
      </c>
      <c r="U126" s="11">
        <f t="shared" si="10"/>
        <v>2.2573636363636371</v>
      </c>
      <c r="V126" t="s">
        <v>2</v>
      </c>
      <c r="Y126" t="s">
        <v>2</v>
      </c>
      <c r="Z126" t="s">
        <v>39</v>
      </c>
      <c r="AA126" s="11">
        <f t="shared" si="17"/>
        <v>2.2573636363636371</v>
      </c>
      <c r="AB126" t="s">
        <v>2</v>
      </c>
      <c r="AE126" t="s">
        <v>2</v>
      </c>
      <c r="AF126" t="s">
        <v>39</v>
      </c>
      <c r="AG126" s="11">
        <f t="shared" si="18"/>
        <v>2.2573636363636371</v>
      </c>
      <c r="AH126" t="s">
        <v>2</v>
      </c>
    </row>
    <row r="127" spans="1:34" x14ac:dyDescent="0.2">
      <c r="A127" t="s">
        <v>127</v>
      </c>
      <c r="B127" t="s">
        <v>91</v>
      </c>
      <c r="C127" s="11" t="e">
        <f>INDEX(PlasticsUse!$B$94:$L$111,MATCH(dataforsankey!$A127,PlasticsUse!$A$94:$A$108,0),MATCH(dataforsankey!$B127,PlasticsUse!$B$93:$L$93,0))</f>
        <v>#N/A</v>
      </c>
      <c r="G127" t="str">
        <f t="shared" si="13"/>
        <v>Other thermosets</v>
      </c>
      <c r="H127" t="str">
        <f t="shared" si="14"/>
        <v>Consumer and Insitutional</v>
      </c>
      <c r="I127" t="e">
        <f t="shared" si="15"/>
        <v>#N/A</v>
      </c>
      <c r="J127" t="str">
        <f t="shared" si="16"/>
        <v>Other thermosets</v>
      </c>
      <c r="M127" t="s">
        <v>891</v>
      </c>
      <c r="N127" t="s">
        <v>68</v>
      </c>
      <c r="O127" s="11">
        <f>_xlfn.IFNA(INDEX('Imports - Products'!$B$24:$G$40,MATCH(dataforsankey!$P127,'Imports - Products'!$A$24:$A$40,0),MATCH(dataforsankey!$N127,'Imports - Products'!$B$23:$G$23,0)),0)*10^-6</f>
        <v>0</v>
      </c>
      <c r="P127" t="s">
        <v>2</v>
      </c>
      <c r="S127" t="s">
        <v>2</v>
      </c>
      <c r="T127" t="s">
        <v>68</v>
      </c>
      <c r="U127" s="11">
        <f t="shared" si="10"/>
        <v>0</v>
      </c>
      <c r="V127" t="s">
        <v>2</v>
      </c>
      <c r="Y127" t="s">
        <v>2</v>
      </c>
      <c r="Z127" t="s">
        <v>68</v>
      </c>
      <c r="AA127" s="11">
        <f t="shared" si="17"/>
        <v>0</v>
      </c>
      <c r="AB127" t="s">
        <v>2</v>
      </c>
      <c r="AE127" t="s">
        <v>2</v>
      </c>
      <c r="AF127" t="s">
        <v>68</v>
      </c>
      <c r="AG127" s="11">
        <f t="shared" si="18"/>
        <v>0</v>
      </c>
      <c r="AH127" t="s">
        <v>2</v>
      </c>
    </row>
    <row r="128" spans="1:34" x14ac:dyDescent="0.2">
      <c r="A128" t="s">
        <v>127</v>
      </c>
      <c r="B128" t="s">
        <v>92</v>
      </c>
      <c r="C128" s="11">
        <f>INDEX(PlasticsUse!$B$94:$L$111,MATCH(dataforsankey!$A128,PlasticsUse!$A$94:$A$108,0),MATCH(dataforsankey!$B128,PlasticsUse!$B$93:$L$93,0))</f>
        <v>0</v>
      </c>
      <c r="G128" t="str">
        <f t="shared" si="13"/>
        <v>Other thermosets</v>
      </c>
      <c r="H128" t="str">
        <f t="shared" si="14"/>
        <v>Adhesives/Inks/Coatings</v>
      </c>
      <c r="I128">
        <f t="shared" si="15"/>
        <v>0</v>
      </c>
      <c r="J128" t="str">
        <f t="shared" si="16"/>
        <v>Other thermosets</v>
      </c>
      <c r="M128" t="s">
        <v>891</v>
      </c>
      <c r="N128" t="s">
        <v>63</v>
      </c>
      <c r="O128" s="11">
        <f>_xlfn.IFNA(INDEX('Imports - Products'!$B$24:$G$40,MATCH(dataforsankey!$P128,'Imports - Products'!$A$24:$A$40,0),MATCH(dataforsankey!$N128,'Imports - Products'!$B$23:$G$23,0)),0)*10^-6</f>
        <v>0</v>
      </c>
      <c r="P128" t="s">
        <v>2</v>
      </c>
      <c r="S128" t="s">
        <v>2</v>
      </c>
      <c r="T128" t="s">
        <v>63</v>
      </c>
      <c r="U128" s="11">
        <f t="shared" si="10"/>
        <v>0</v>
      </c>
      <c r="V128" t="s">
        <v>2</v>
      </c>
      <c r="Y128" t="s">
        <v>2</v>
      </c>
      <c r="Z128" t="s">
        <v>63</v>
      </c>
      <c r="AA128" s="11">
        <f t="shared" si="17"/>
        <v>0</v>
      </c>
      <c r="AB128" t="s">
        <v>2</v>
      </c>
      <c r="AE128" t="s">
        <v>2</v>
      </c>
      <c r="AF128" t="s">
        <v>63</v>
      </c>
      <c r="AG128" s="11">
        <f t="shared" si="18"/>
        <v>0</v>
      </c>
      <c r="AH128" t="s">
        <v>2</v>
      </c>
    </row>
    <row r="129" spans="1:34" x14ac:dyDescent="0.2">
      <c r="A129" t="s">
        <v>127</v>
      </c>
      <c r="B129" t="s">
        <v>103</v>
      </c>
      <c r="C129" s="11">
        <f>INDEX(PlasticsUse!$B$94:$L$111,MATCH(dataforsankey!$A129,PlasticsUse!$A$94:$A$108,0),MATCH(dataforsankey!$B129,PlasticsUse!$B$93:$L$93,0))</f>
        <v>0</v>
      </c>
      <c r="G129" t="str">
        <f t="shared" si="13"/>
        <v>Other thermosets</v>
      </c>
      <c r="H129" t="str">
        <f t="shared" si="14"/>
        <v>Textiles, Fibers and Apparel</v>
      </c>
      <c r="I129">
        <f t="shared" si="15"/>
        <v>0</v>
      </c>
      <c r="J129" t="str">
        <f t="shared" si="16"/>
        <v>Other thermosets</v>
      </c>
      <c r="M129" t="s">
        <v>891</v>
      </c>
      <c r="N129" t="s">
        <v>92</v>
      </c>
      <c r="O129" s="11">
        <f>_xlfn.IFNA(INDEX('Imports - Products'!$B$24:$G$40,MATCH(dataforsankey!$P129,'Imports - Products'!$A$24:$A$40,0),MATCH(dataforsankey!$N129,'Imports - Products'!$B$23:$G$23,0)),0)*10^-6</f>
        <v>0</v>
      </c>
      <c r="P129" t="s">
        <v>2</v>
      </c>
      <c r="S129" t="s">
        <v>2</v>
      </c>
      <c r="T129" t="s">
        <v>92</v>
      </c>
      <c r="U129" s="11">
        <f t="shared" si="10"/>
        <v>0</v>
      </c>
      <c r="V129" t="s">
        <v>2</v>
      </c>
      <c r="Y129" t="s">
        <v>2</v>
      </c>
      <c r="Z129" t="s">
        <v>92</v>
      </c>
      <c r="AA129" s="11">
        <f t="shared" si="17"/>
        <v>0</v>
      </c>
      <c r="AB129" t="s">
        <v>2</v>
      </c>
      <c r="AE129" t="s">
        <v>2</v>
      </c>
      <c r="AF129" t="s">
        <v>92</v>
      </c>
      <c r="AG129" s="11">
        <f t="shared" si="18"/>
        <v>0</v>
      </c>
      <c r="AH129" t="s">
        <v>2</v>
      </c>
    </row>
    <row r="130" spans="1:34" x14ac:dyDescent="0.2">
      <c r="A130" t="s">
        <v>127</v>
      </c>
      <c r="B130" t="s">
        <v>86</v>
      </c>
      <c r="C130" s="11">
        <f>INDEX(PlasticsUse!$B$94:$L$111,MATCH(dataforsankey!$A130,PlasticsUse!$A$94:$A$108,0),MATCH(dataforsankey!$B130,PlasticsUse!$B$93:$L$93,0))</f>
        <v>2.26796</v>
      </c>
      <c r="G130" t="str">
        <f t="shared" si="13"/>
        <v>Other thermosets</v>
      </c>
      <c r="H130" t="str">
        <f t="shared" si="14"/>
        <v>Other End Use Markets</v>
      </c>
      <c r="I130">
        <f t="shared" si="15"/>
        <v>2.26796</v>
      </c>
      <c r="J130" t="str">
        <f t="shared" si="16"/>
        <v>Other thermosets</v>
      </c>
      <c r="M130" t="s">
        <v>891</v>
      </c>
      <c r="N130" t="s">
        <v>103</v>
      </c>
      <c r="O130" s="11">
        <f>_xlfn.IFNA(INDEX('Imports - Products'!$B$24:$G$40,MATCH(dataforsankey!$P130,'Imports - Products'!$A$24:$A$40,0),MATCH(dataforsankey!$N130,'Imports - Products'!$B$23:$G$23,0)),0)*10^-6</f>
        <v>0</v>
      </c>
      <c r="P130" t="s">
        <v>2</v>
      </c>
      <c r="S130" t="s">
        <v>2</v>
      </c>
      <c r="T130" t="s">
        <v>103</v>
      </c>
      <c r="U130" s="11">
        <f t="shared" si="10"/>
        <v>0</v>
      </c>
      <c r="V130" t="s">
        <v>2</v>
      </c>
      <c r="Y130" t="s">
        <v>2</v>
      </c>
      <c r="Z130" t="s">
        <v>103</v>
      </c>
      <c r="AA130" s="11">
        <f t="shared" si="17"/>
        <v>0</v>
      </c>
      <c r="AB130" t="s">
        <v>2</v>
      </c>
      <c r="AE130" t="s">
        <v>2</v>
      </c>
      <c r="AF130" t="s">
        <v>103</v>
      </c>
      <c r="AG130" s="11">
        <f t="shared" si="18"/>
        <v>0</v>
      </c>
      <c r="AH130" t="s">
        <v>2</v>
      </c>
    </row>
    <row r="131" spans="1:34" x14ac:dyDescent="0.2">
      <c r="A131" t="s">
        <v>127</v>
      </c>
      <c r="B131" t="s">
        <v>18</v>
      </c>
      <c r="C131" s="11">
        <f>INDEX(PlasticsUse!$B$94:$L$111,MATCH(dataforsankey!$A131,PlasticsUse!$A$94:$A$108,0),MATCH(dataforsankey!$B131,PlasticsUse!$B$93:$L$93,0))</f>
        <v>0</v>
      </c>
      <c r="G131" t="str">
        <f t="shared" si="13"/>
        <v>Other thermosets</v>
      </c>
      <c r="H131" t="str">
        <f t="shared" si="14"/>
        <v>Exports</v>
      </c>
      <c r="I131">
        <f t="shared" si="15"/>
        <v>0</v>
      </c>
      <c r="J131" t="str">
        <f t="shared" si="16"/>
        <v>Other thermosets</v>
      </c>
      <c r="M131" t="s">
        <v>891</v>
      </c>
      <c r="N131" t="s">
        <v>86</v>
      </c>
      <c r="O131" s="11">
        <f>_xlfn.IFNA(INDEX('Imports - Products'!$B$24:$G$40,MATCH(dataforsankey!$P131,'Imports - Products'!$A$24:$A$40,0),MATCH(dataforsankey!$N131,'Imports - Products'!$B$23:$G$23,0)),0)*10^-6</f>
        <v>0</v>
      </c>
      <c r="P131" t="s">
        <v>2</v>
      </c>
      <c r="S131" t="s">
        <v>2</v>
      </c>
      <c r="T131" t="s">
        <v>86</v>
      </c>
      <c r="U131" s="11">
        <f t="shared" si="10"/>
        <v>0.56081818181818188</v>
      </c>
      <c r="V131" t="s">
        <v>2</v>
      </c>
      <c r="Y131" t="s">
        <v>2</v>
      </c>
      <c r="Z131" t="s">
        <v>86</v>
      </c>
      <c r="AA131" s="11">
        <f t="shared" si="17"/>
        <v>0.56081818181818188</v>
      </c>
      <c r="AB131" t="s">
        <v>2</v>
      </c>
      <c r="AE131" t="s">
        <v>2</v>
      </c>
      <c r="AF131" t="s">
        <v>86</v>
      </c>
      <c r="AG131" s="11">
        <f t="shared" si="18"/>
        <v>0.56081818181818188</v>
      </c>
      <c r="AH131" t="s">
        <v>2</v>
      </c>
    </row>
    <row r="132" spans="1:34" x14ac:dyDescent="0.2">
      <c r="A132" t="s">
        <v>25</v>
      </c>
      <c r="B132" t="s">
        <v>38</v>
      </c>
      <c r="C132" s="11">
        <f>INDEX(PlasticsUse!$B$94:$L$111,MATCH(dataforsankey!$A132,PlasticsUse!$A$94:$A$108,0),MATCH(dataforsankey!$B132,PlasticsUse!$B$93:$L$93,0))</f>
        <v>0.21706715530500378</v>
      </c>
      <c r="G132" t="str">
        <f t="shared" si="13"/>
        <v>EPS</v>
      </c>
      <c r="H132" t="str">
        <f t="shared" si="14"/>
        <v>Building and Construction</v>
      </c>
      <c r="I132">
        <f t="shared" si="15"/>
        <v>0.21706715530500378</v>
      </c>
      <c r="J132" t="str">
        <f t="shared" si="16"/>
        <v>EPS</v>
      </c>
      <c r="M132" t="s">
        <v>891</v>
      </c>
      <c r="N132" t="s">
        <v>18</v>
      </c>
      <c r="O132" s="11">
        <f>_xlfn.IFNA(INDEX('Imports - Products'!$B$24:$G$40,MATCH(dataforsankey!$P132,'Imports - Products'!$A$24:$A$40,0),MATCH(dataforsankey!$N132,'Imports - Products'!$B$23:$G$23,0)),0)*10^-6</f>
        <v>0</v>
      </c>
      <c r="P132" t="s">
        <v>2</v>
      </c>
      <c r="S132" t="s">
        <v>2</v>
      </c>
      <c r="T132" t="s">
        <v>18</v>
      </c>
      <c r="U132" s="11">
        <f t="shared" si="10"/>
        <v>0</v>
      </c>
      <c r="V132" t="s">
        <v>2</v>
      </c>
      <c r="Y132" t="s">
        <v>2</v>
      </c>
      <c r="Z132" t="s">
        <v>18</v>
      </c>
      <c r="AA132" s="11">
        <f t="shared" si="17"/>
        <v>0</v>
      </c>
      <c r="AB132" t="s">
        <v>2</v>
      </c>
      <c r="AE132" t="s">
        <v>2</v>
      </c>
      <c r="AF132" t="s">
        <v>18</v>
      </c>
      <c r="AG132" s="11">
        <f t="shared" si="18"/>
        <v>0</v>
      </c>
      <c r="AH132" t="s">
        <v>2</v>
      </c>
    </row>
    <row r="133" spans="1:34" x14ac:dyDescent="0.2">
      <c r="A133" t="s">
        <v>25</v>
      </c>
      <c r="B133" t="s">
        <v>99</v>
      </c>
      <c r="C133" s="11">
        <f>INDEX(PlasticsUse!$B$94:$L$111,MATCH(dataforsankey!$A133,PlasticsUse!$A$94:$A$108,0),MATCH(dataforsankey!$B133,PlasticsUse!$B$93:$L$93,0))</f>
        <v>0.24264685890460372</v>
      </c>
      <c r="G133" t="str">
        <f t="shared" si="13"/>
        <v>EPS</v>
      </c>
      <c r="H133" t="str">
        <f t="shared" si="14"/>
        <v>Furniture and Furnishings</v>
      </c>
      <c r="I133">
        <f t="shared" si="15"/>
        <v>0.24264685890460372</v>
      </c>
      <c r="J133" t="str">
        <f t="shared" si="16"/>
        <v>EPS</v>
      </c>
      <c r="M133" t="s">
        <v>891</v>
      </c>
      <c r="N133" t="s">
        <v>38</v>
      </c>
      <c r="O133" s="11">
        <f>_xlfn.IFNA(INDEX('Imports - Products'!$B$24:$G$40,MATCH(dataforsankey!$P133,'Imports - Products'!$A$24:$A$40,0),MATCH(dataforsankey!$N133,'Imports - Products'!$B$23:$G$23,0)),0)*10^-6</f>
        <v>0</v>
      </c>
      <c r="P133" t="s">
        <v>30</v>
      </c>
      <c r="S133" t="s">
        <v>30</v>
      </c>
      <c r="T133" t="s">
        <v>38</v>
      </c>
      <c r="U133" s="11">
        <f t="shared" si="10"/>
        <v>0</v>
      </c>
      <c r="V133" t="s">
        <v>30</v>
      </c>
      <c r="Y133" t="s">
        <v>30</v>
      </c>
      <c r="Z133" t="s">
        <v>38</v>
      </c>
      <c r="AA133" s="11">
        <f t="shared" si="17"/>
        <v>0</v>
      </c>
      <c r="AB133" t="s">
        <v>30</v>
      </c>
      <c r="AE133" t="s">
        <v>30</v>
      </c>
      <c r="AF133" t="s">
        <v>38</v>
      </c>
      <c r="AG133" s="11">
        <f t="shared" si="18"/>
        <v>0</v>
      </c>
      <c r="AH133" t="s">
        <v>30</v>
      </c>
    </row>
    <row r="134" spans="1:34" x14ac:dyDescent="0.2">
      <c r="A134" t="s">
        <v>25</v>
      </c>
      <c r="B134" t="s">
        <v>69</v>
      </c>
      <c r="C134" s="11">
        <f>INDEX(PlasticsUse!$B$94:$L$111,MATCH(dataforsankey!$A134,PlasticsUse!$A$94:$A$108,0),MATCH(dataforsankey!$B134,PlasticsUse!$B$93:$L$93,0))</f>
        <v>0.27021220617144964</v>
      </c>
      <c r="G134" t="str">
        <f t="shared" si="13"/>
        <v>EPS</v>
      </c>
      <c r="H134" t="str">
        <f t="shared" si="14"/>
        <v>Transportation</v>
      </c>
      <c r="I134">
        <f t="shared" si="15"/>
        <v>0.27021220617144964</v>
      </c>
      <c r="J134" t="str">
        <f t="shared" si="16"/>
        <v>EPS</v>
      </c>
      <c r="M134" t="s">
        <v>891</v>
      </c>
      <c r="N134" t="s">
        <v>99</v>
      </c>
      <c r="O134" s="11">
        <f>_xlfn.IFNA(INDEX('Imports - Products'!$B$24:$G$40,MATCH(dataforsankey!$P134,'Imports - Products'!$A$24:$A$40,0),MATCH(dataforsankey!$N134,'Imports - Products'!$B$23:$G$23,0)),0)*10^-6</f>
        <v>3.0049799145028103E-2</v>
      </c>
      <c r="P134" t="s">
        <v>30</v>
      </c>
      <c r="S134" t="s">
        <v>30</v>
      </c>
      <c r="T134" t="s">
        <v>99</v>
      </c>
      <c r="U134" s="11">
        <f t="shared" si="10"/>
        <v>0.25500000000000006</v>
      </c>
      <c r="V134" t="s">
        <v>30</v>
      </c>
      <c r="Y134" t="s">
        <v>30</v>
      </c>
      <c r="Z134" t="s">
        <v>99</v>
      </c>
      <c r="AA134" s="11">
        <f t="shared" si="17"/>
        <v>0.25500000000000006</v>
      </c>
      <c r="AB134" t="s">
        <v>30</v>
      </c>
      <c r="AE134" t="s">
        <v>30</v>
      </c>
      <c r="AF134" t="s">
        <v>99</v>
      </c>
      <c r="AG134" s="11">
        <f t="shared" si="18"/>
        <v>0.25500000000000006</v>
      </c>
      <c r="AH134" t="s">
        <v>30</v>
      </c>
    </row>
    <row r="135" spans="1:34" x14ac:dyDescent="0.2">
      <c r="A135" t="s">
        <v>25</v>
      </c>
      <c r="B135" t="s">
        <v>100</v>
      </c>
      <c r="C135" s="11">
        <f>INDEX(PlasticsUse!$B$94:$L$111,MATCH(dataforsankey!$A135,PlasticsUse!$A$94:$A$108,0),MATCH(dataforsankey!$B135,PlasticsUse!$B$93:$L$93,0))</f>
        <v>0.21706715530500378</v>
      </c>
      <c r="G135" t="str">
        <f t="shared" si="13"/>
        <v>EPS</v>
      </c>
      <c r="H135" t="str">
        <f t="shared" si="14"/>
        <v>Industrial/Machinery</v>
      </c>
      <c r="I135">
        <f t="shared" si="15"/>
        <v>0.21706715530500378</v>
      </c>
      <c r="J135" t="str">
        <f t="shared" si="16"/>
        <v>EPS</v>
      </c>
      <c r="M135" t="s">
        <v>891</v>
      </c>
      <c r="N135" t="s">
        <v>69</v>
      </c>
      <c r="O135" s="11">
        <f>_xlfn.IFNA(INDEX('Imports - Products'!$B$24:$G$40,MATCH(dataforsankey!$P135,'Imports - Products'!$A$24:$A$40,0),MATCH(dataforsankey!$N135,'Imports - Products'!$B$23:$G$23,0)),0)*10^-6</f>
        <v>0</v>
      </c>
      <c r="P135" t="s">
        <v>30</v>
      </c>
      <c r="S135" t="s">
        <v>30</v>
      </c>
      <c r="T135" t="s">
        <v>69</v>
      </c>
      <c r="U135" s="11">
        <f t="shared" si="10"/>
        <v>0</v>
      </c>
      <c r="V135" t="s">
        <v>30</v>
      </c>
      <c r="Y135" t="s">
        <v>30</v>
      </c>
      <c r="Z135" t="s">
        <v>69</v>
      </c>
      <c r="AA135" s="11">
        <f t="shared" si="17"/>
        <v>0</v>
      </c>
      <c r="AB135" t="s">
        <v>30</v>
      </c>
      <c r="AE135" t="s">
        <v>30</v>
      </c>
      <c r="AF135" t="s">
        <v>69</v>
      </c>
      <c r="AG135" s="11">
        <f t="shared" si="18"/>
        <v>0</v>
      </c>
      <c r="AH135" t="s">
        <v>30</v>
      </c>
    </row>
    <row r="136" spans="1:34" x14ac:dyDescent="0.2">
      <c r="A136" t="s">
        <v>25</v>
      </c>
      <c r="B136" t="s">
        <v>39</v>
      </c>
      <c r="C136" s="11">
        <f>INDEX(PlasticsUse!$B$94:$L$111,MATCH(dataforsankey!$A136,PlasticsUse!$A$94:$A$108,0),MATCH(dataforsankey!$B136,PlasticsUse!$B$93:$L$93,0))</f>
        <v>0.25858828800997985</v>
      </c>
      <c r="G136" t="str">
        <f t="shared" si="13"/>
        <v>EPS</v>
      </c>
      <c r="H136" t="str">
        <f t="shared" si="14"/>
        <v>Packaging</v>
      </c>
      <c r="I136">
        <f t="shared" si="15"/>
        <v>0.25858828800997985</v>
      </c>
      <c r="J136" t="str">
        <f t="shared" si="16"/>
        <v>EPS</v>
      </c>
      <c r="M136" t="s">
        <v>891</v>
      </c>
      <c r="N136" t="s">
        <v>100</v>
      </c>
      <c r="O136" s="11">
        <f>_xlfn.IFNA(INDEX('Imports - Products'!$B$24:$G$40,MATCH(dataforsankey!$P136,'Imports - Products'!$A$24:$A$40,0),MATCH(dataforsankey!$N136,'Imports - Products'!$B$23:$G$23,0)),0)*10^-6</f>
        <v>0</v>
      </c>
      <c r="P136" t="s">
        <v>30</v>
      </c>
      <c r="S136" t="s">
        <v>30</v>
      </c>
      <c r="T136" t="s">
        <v>100</v>
      </c>
      <c r="U136" s="11">
        <f t="shared" si="10"/>
        <v>0.12750000000000003</v>
      </c>
      <c r="V136" t="s">
        <v>30</v>
      </c>
      <c r="Y136" t="s">
        <v>30</v>
      </c>
      <c r="Z136" t="s">
        <v>100</v>
      </c>
      <c r="AA136" s="11">
        <f t="shared" si="17"/>
        <v>0.12750000000000003</v>
      </c>
      <c r="AB136" t="s">
        <v>30</v>
      </c>
      <c r="AE136" t="s">
        <v>30</v>
      </c>
      <c r="AF136" t="s">
        <v>100</v>
      </c>
      <c r="AG136" s="11">
        <f t="shared" si="18"/>
        <v>0.12750000000000003</v>
      </c>
      <c r="AH136" t="s">
        <v>30</v>
      </c>
    </row>
    <row r="137" spans="1:34" x14ac:dyDescent="0.2">
      <c r="A137" t="s">
        <v>25</v>
      </c>
      <c r="B137" t="s">
        <v>68</v>
      </c>
      <c r="C137" s="11">
        <f>INDEX(PlasticsUse!$B$94:$L$111,MATCH(dataforsankey!$A137,PlasticsUse!$A$94:$A$108,0),MATCH(dataforsankey!$B137,PlasticsUse!$B$93:$L$93,0))</f>
        <v>0.28493369983595151</v>
      </c>
      <c r="G137" t="str">
        <f t="shared" si="13"/>
        <v>EPS</v>
      </c>
      <c r="H137" t="str">
        <f t="shared" si="14"/>
        <v>Electrical/Electronic</v>
      </c>
      <c r="I137">
        <f t="shared" si="15"/>
        <v>0.28493369983595151</v>
      </c>
      <c r="J137" t="str">
        <f t="shared" si="16"/>
        <v>EPS</v>
      </c>
      <c r="M137" t="s">
        <v>891</v>
      </c>
      <c r="N137" t="s">
        <v>39</v>
      </c>
      <c r="O137" s="11">
        <f>_xlfn.IFNA(INDEX('Imports - Products'!$B$24:$G$40,MATCH(dataforsankey!$P137,'Imports - Products'!$A$24:$A$40,0),MATCH(dataforsankey!$N137,'Imports - Products'!$B$23:$G$23,0)),0)*10^-6</f>
        <v>0</v>
      </c>
      <c r="P137" t="s">
        <v>30</v>
      </c>
      <c r="S137" t="s">
        <v>30</v>
      </c>
      <c r="T137" t="s">
        <v>39</v>
      </c>
      <c r="U137" s="11">
        <f t="shared" si="10"/>
        <v>0</v>
      </c>
      <c r="V137" t="s">
        <v>30</v>
      </c>
      <c r="Y137" t="s">
        <v>30</v>
      </c>
      <c r="Z137" t="s">
        <v>39</v>
      </c>
      <c r="AA137" s="11">
        <f t="shared" si="17"/>
        <v>0</v>
      </c>
      <c r="AB137" t="s">
        <v>30</v>
      </c>
      <c r="AE137" t="s">
        <v>30</v>
      </c>
      <c r="AF137" t="s">
        <v>39</v>
      </c>
      <c r="AG137" s="11">
        <f t="shared" si="18"/>
        <v>0</v>
      </c>
      <c r="AH137" t="s">
        <v>30</v>
      </c>
    </row>
    <row r="138" spans="1:34" x14ac:dyDescent="0.2">
      <c r="A138" t="s">
        <v>25</v>
      </c>
      <c r="B138" t="s">
        <v>91</v>
      </c>
      <c r="C138" s="11" t="e">
        <f>INDEX(PlasticsUse!$B$94:$L$111,MATCH(dataforsankey!$A138,PlasticsUse!$A$94:$A$108,0),MATCH(dataforsankey!$B138,PlasticsUse!$B$93:$L$93,0))</f>
        <v>#N/A</v>
      </c>
      <c r="G138" t="str">
        <f t="shared" si="13"/>
        <v>EPS</v>
      </c>
      <c r="H138" t="str">
        <f t="shared" si="14"/>
        <v>Consumer and Insitutional</v>
      </c>
      <c r="I138" t="e">
        <f t="shared" si="15"/>
        <v>#N/A</v>
      </c>
      <c r="J138" t="str">
        <f t="shared" si="16"/>
        <v>EPS</v>
      </c>
      <c r="M138" t="s">
        <v>891</v>
      </c>
      <c r="N138" t="s">
        <v>68</v>
      </c>
      <c r="O138" s="11">
        <f>_xlfn.IFNA(INDEX('Imports - Products'!$B$24:$G$40,MATCH(dataforsankey!$P138,'Imports - Products'!$A$24:$A$40,0),MATCH(dataforsankey!$N138,'Imports - Products'!$B$23:$G$23,0)),0)*10^-6</f>
        <v>0</v>
      </c>
      <c r="P138" t="s">
        <v>30</v>
      </c>
      <c r="S138" t="s">
        <v>30</v>
      </c>
      <c r="T138" t="s">
        <v>68</v>
      </c>
      <c r="U138" s="11">
        <f t="shared" si="10"/>
        <v>0</v>
      </c>
      <c r="V138" t="s">
        <v>30</v>
      </c>
      <c r="Y138" t="s">
        <v>30</v>
      </c>
      <c r="Z138" t="s">
        <v>68</v>
      </c>
      <c r="AA138" s="11">
        <f t="shared" si="17"/>
        <v>0</v>
      </c>
      <c r="AB138" t="s">
        <v>30</v>
      </c>
      <c r="AE138" t="s">
        <v>30</v>
      </c>
      <c r="AF138" t="s">
        <v>68</v>
      </c>
      <c r="AG138" s="11">
        <f t="shared" si="18"/>
        <v>0</v>
      </c>
      <c r="AH138" t="s">
        <v>30</v>
      </c>
    </row>
    <row r="139" spans="1:34" x14ac:dyDescent="0.2">
      <c r="A139" t="s">
        <v>25</v>
      </c>
      <c r="B139" t="s">
        <v>92</v>
      </c>
      <c r="C139" s="11">
        <f>INDEX(PlasticsUse!$B$94:$L$111,MATCH(dataforsankey!$A139,PlasticsUse!$A$94:$A$108,0),MATCH(dataforsankey!$B139,PlasticsUse!$B$93:$L$93,0))</f>
        <v>0.21706715530500378</v>
      </c>
      <c r="G139" t="str">
        <f t="shared" si="13"/>
        <v>EPS</v>
      </c>
      <c r="H139" t="str">
        <f t="shared" si="14"/>
        <v>Adhesives/Inks/Coatings</v>
      </c>
      <c r="I139">
        <f t="shared" si="15"/>
        <v>0.21706715530500378</v>
      </c>
      <c r="J139" t="str">
        <f t="shared" si="16"/>
        <v>EPS</v>
      </c>
      <c r="M139" t="s">
        <v>891</v>
      </c>
      <c r="N139" t="s">
        <v>63</v>
      </c>
      <c r="O139" s="11">
        <f>_xlfn.IFNA(INDEX('Imports - Products'!$B$24:$G$40,MATCH(dataforsankey!$P139,'Imports - Products'!$A$24:$A$40,0),MATCH(dataforsankey!$N139,'Imports - Products'!$B$23:$G$23,0)),0)*10^-6</f>
        <v>0</v>
      </c>
      <c r="P139" t="s">
        <v>30</v>
      </c>
      <c r="S139" t="s">
        <v>30</v>
      </c>
      <c r="T139" t="s">
        <v>63</v>
      </c>
      <c r="U139" s="11">
        <f t="shared" si="10"/>
        <v>0</v>
      </c>
      <c r="V139" t="s">
        <v>30</v>
      </c>
      <c r="Y139" t="s">
        <v>30</v>
      </c>
      <c r="Z139" t="s">
        <v>63</v>
      </c>
      <c r="AA139" s="11">
        <f t="shared" si="17"/>
        <v>0</v>
      </c>
      <c r="AB139" t="s">
        <v>30</v>
      </c>
      <c r="AE139" t="s">
        <v>30</v>
      </c>
      <c r="AF139" t="s">
        <v>63</v>
      </c>
      <c r="AG139" s="11">
        <f t="shared" si="18"/>
        <v>0</v>
      </c>
      <c r="AH139" t="s">
        <v>30</v>
      </c>
    </row>
    <row r="140" spans="1:34" x14ac:dyDescent="0.2">
      <c r="A140" t="s">
        <v>25</v>
      </c>
      <c r="B140" t="s">
        <v>103</v>
      </c>
      <c r="C140" s="11">
        <f>INDEX(PlasticsUse!$B$94:$L$111,MATCH(dataforsankey!$A140,PlasticsUse!$A$94:$A$108,0),MATCH(dataforsankey!$B140,PlasticsUse!$B$93:$L$93,0))</f>
        <v>0</v>
      </c>
      <c r="G140" t="str">
        <f t="shared" si="13"/>
        <v>EPS</v>
      </c>
      <c r="H140" t="str">
        <f t="shared" si="14"/>
        <v>Textiles, Fibers and Apparel</v>
      </c>
      <c r="I140">
        <f t="shared" si="15"/>
        <v>0</v>
      </c>
      <c r="J140" t="str">
        <f t="shared" si="16"/>
        <v>EPS</v>
      </c>
      <c r="M140" t="s">
        <v>891</v>
      </c>
      <c r="N140" t="s">
        <v>92</v>
      </c>
      <c r="O140" s="11">
        <f>_xlfn.IFNA(INDEX('Imports - Products'!$B$24:$G$40,MATCH(dataforsankey!$P140,'Imports - Products'!$A$24:$A$40,0),MATCH(dataforsankey!$N140,'Imports - Products'!$B$23:$G$23,0)),0)*10^-6</f>
        <v>0</v>
      </c>
      <c r="P140" t="s">
        <v>30</v>
      </c>
      <c r="S140" t="s">
        <v>30</v>
      </c>
      <c r="T140" t="s">
        <v>92</v>
      </c>
      <c r="U140" s="11">
        <f t="shared" si="10"/>
        <v>0</v>
      </c>
      <c r="V140" t="s">
        <v>30</v>
      </c>
      <c r="Y140" t="s">
        <v>30</v>
      </c>
      <c r="Z140" t="s">
        <v>92</v>
      </c>
      <c r="AA140" s="11">
        <f t="shared" si="17"/>
        <v>0</v>
      </c>
      <c r="AB140" t="s">
        <v>30</v>
      </c>
      <c r="AE140" t="s">
        <v>30</v>
      </c>
      <c r="AF140" t="s">
        <v>92</v>
      </c>
      <c r="AG140" s="11">
        <f t="shared" si="18"/>
        <v>0</v>
      </c>
      <c r="AH140" t="s">
        <v>30</v>
      </c>
    </row>
    <row r="141" spans="1:34" x14ac:dyDescent="0.2">
      <c r="A141" t="s">
        <v>25</v>
      </c>
      <c r="B141" t="s">
        <v>86</v>
      </c>
      <c r="C141" s="11">
        <f>INDEX(PlasticsUse!$B$94:$L$111,MATCH(dataforsankey!$A141,PlasticsUse!$A$94:$A$108,0),MATCH(dataforsankey!$B141,PlasticsUse!$B$93:$L$93,0))</f>
        <v>0.21706715530500378</v>
      </c>
      <c r="G141" t="str">
        <f t="shared" si="13"/>
        <v>EPS</v>
      </c>
      <c r="H141" t="str">
        <f t="shared" si="14"/>
        <v>Other End Use Markets</v>
      </c>
      <c r="I141">
        <f t="shared" si="15"/>
        <v>0.21706715530500378</v>
      </c>
      <c r="J141" t="str">
        <f t="shared" si="16"/>
        <v>EPS</v>
      </c>
      <c r="M141" t="s">
        <v>891</v>
      </c>
      <c r="N141" t="s">
        <v>103</v>
      </c>
      <c r="O141" s="11">
        <f>_xlfn.IFNA(INDEX('Imports - Products'!$B$24:$G$40,MATCH(dataforsankey!$P141,'Imports - Products'!$A$24:$A$40,0),MATCH(dataforsankey!$N141,'Imports - Products'!$B$23:$G$23,0)),0)*10^-6</f>
        <v>0.13300030967320553</v>
      </c>
      <c r="P141" t="s">
        <v>30</v>
      </c>
      <c r="S141" t="s">
        <v>30</v>
      </c>
      <c r="T141" t="s">
        <v>103</v>
      </c>
      <c r="U141" s="11">
        <f t="shared" si="10"/>
        <v>0.82874999999999999</v>
      </c>
      <c r="V141" t="s">
        <v>30</v>
      </c>
      <c r="Y141" t="s">
        <v>30</v>
      </c>
      <c r="Z141" t="s">
        <v>103</v>
      </c>
      <c r="AA141" s="11">
        <f t="shared" si="17"/>
        <v>0.82874999999999999</v>
      </c>
      <c r="AB141" t="s">
        <v>30</v>
      </c>
      <c r="AE141" t="s">
        <v>30</v>
      </c>
      <c r="AF141" t="s">
        <v>103</v>
      </c>
      <c r="AG141" s="11">
        <f t="shared" si="18"/>
        <v>0.82874999999999999</v>
      </c>
      <c r="AH141" t="s">
        <v>30</v>
      </c>
    </row>
    <row r="142" spans="1:34" x14ac:dyDescent="0.2">
      <c r="A142" t="s">
        <v>25</v>
      </c>
      <c r="B142" t="s">
        <v>18</v>
      </c>
      <c r="C142" s="11">
        <f>INDEX(PlasticsUse!$B$94:$L$111,MATCH(dataforsankey!$A142,PlasticsUse!$A$94:$A$108,0),MATCH(dataforsankey!$B142,PlasticsUse!$B$93:$L$93,0))</f>
        <v>0.21706715530500378</v>
      </c>
      <c r="G142" t="str">
        <f t="shared" si="13"/>
        <v>EPS</v>
      </c>
      <c r="H142" t="str">
        <f t="shared" si="14"/>
        <v>Exports</v>
      </c>
      <c r="I142">
        <f t="shared" si="15"/>
        <v>0.21706715530500378</v>
      </c>
      <c r="J142" t="str">
        <f t="shared" si="16"/>
        <v>EPS</v>
      </c>
      <c r="M142" t="s">
        <v>891</v>
      </c>
      <c r="N142" t="s">
        <v>86</v>
      </c>
      <c r="O142" s="11">
        <f>_xlfn.IFNA(INDEX('Imports - Products'!$B$24:$G$40,MATCH(dataforsankey!$P142,'Imports - Products'!$A$24:$A$40,0),MATCH(dataforsankey!$N142,'Imports - Products'!$B$23:$G$23,0)),0)*10^-6</f>
        <v>0</v>
      </c>
      <c r="P142" t="s">
        <v>30</v>
      </c>
      <c r="S142" t="s">
        <v>30</v>
      </c>
      <c r="T142" t="s">
        <v>86</v>
      </c>
      <c r="U142" s="11">
        <f t="shared" si="10"/>
        <v>0</v>
      </c>
      <c r="V142" t="s">
        <v>30</v>
      </c>
      <c r="Y142" t="s">
        <v>30</v>
      </c>
      <c r="Z142" t="s">
        <v>86</v>
      </c>
      <c r="AA142" s="11">
        <f t="shared" si="17"/>
        <v>0</v>
      </c>
      <c r="AB142" t="s">
        <v>30</v>
      </c>
      <c r="AE142" t="s">
        <v>30</v>
      </c>
      <c r="AF142" t="s">
        <v>86</v>
      </c>
      <c r="AG142" s="11">
        <f t="shared" si="18"/>
        <v>0</v>
      </c>
      <c r="AH142" t="s">
        <v>30</v>
      </c>
    </row>
    <row r="143" spans="1:34" x14ac:dyDescent="0.2">
      <c r="A143" t="s">
        <v>121</v>
      </c>
      <c r="B143" t="s">
        <v>38</v>
      </c>
      <c r="C143" s="11">
        <f>INDEX(PlasticsUse!$B$94:$L$111,MATCH(dataforsankey!$A143,PlasticsUse!$A$94:$A$108,0),MATCH(dataforsankey!$B143,PlasticsUse!$B$93:$L$93,0))</f>
        <v>6.3750000000000015E-2</v>
      </c>
      <c r="G143" t="str">
        <f t="shared" si="13"/>
        <v>Polyester Fiber</v>
      </c>
      <c r="H143" t="str">
        <f t="shared" si="14"/>
        <v>Building and Construction</v>
      </c>
      <c r="I143">
        <f t="shared" si="15"/>
        <v>6.3750000000000015E-2</v>
      </c>
      <c r="J143" t="str">
        <f t="shared" si="16"/>
        <v>Polyester Fiber</v>
      </c>
      <c r="M143" t="s">
        <v>891</v>
      </c>
      <c r="N143" t="s">
        <v>18</v>
      </c>
      <c r="O143" s="11">
        <f>_xlfn.IFNA(INDEX('Imports - Products'!$B$24:$G$40,MATCH(dataforsankey!$P143,'Imports - Products'!$A$24:$A$40,0),MATCH(dataforsankey!$N143,'Imports - Products'!$B$23:$G$23,0)),0)*10^-6</f>
        <v>0</v>
      </c>
      <c r="P143" t="s">
        <v>30</v>
      </c>
      <c r="S143" t="s">
        <v>30</v>
      </c>
      <c r="T143" t="s">
        <v>18</v>
      </c>
      <c r="U143" s="11">
        <f t="shared" si="10"/>
        <v>6.3750000000000015E-2</v>
      </c>
      <c r="V143" t="s">
        <v>30</v>
      </c>
      <c r="Y143" t="s">
        <v>30</v>
      </c>
      <c r="Z143" t="s">
        <v>18</v>
      </c>
      <c r="AA143" s="11">
        <f t="shared" si="17"/>
        <v>6.3750000000000015E-2</v>
      </c>
      <c r="AB143" t="s">
        <v>30</v>
      </c>
      <c r="AE143" t="s">
        <v>30</v>
      </c>
      <c r="AF143" t="s">
        <v>18</v>
      </c>
      <c r="AG143" s="11">
        <f t="shared" si="18"/>
        <v>6.3750000000000015E-2</v>
      </c>
      <c r="AH143" t="s">
        <v>30</v>
      </c>
    </row>
    <row r="144" spans="1:34" x14ac:dyDescent="0.2">
      <c r="A144" t="s">
        <v>121</v>
      </c>
      <c r="B144" t="s">
        <v>99</v>
      </c>
      <c r="C144" s="11">
        <f>INDEX(PlasticsUse!$B$94:$L$111,MATCH(dataforsankey!$A144,PlasticsUse!$A$94:$A$108,0),MATCH(dataforsankey!$B144,PlasticsUse!$B$93:$L$93,0))</f>
        <v>3.0049799145028103E-2</v>
      </c>
      <c r="G144" t="str">
        <f t="shared" si="13"/>
        <v>Polyester Fiber</v>
      </c>
      <c r="H144" t="str">
        <f t="shared" si="14"/>
        <v>Furniture and Furnishings</v>
      </c>
      <c r="I144">
        <f t="shared" si="15"/>
        <v>3.0049799145028103E-2</v>
      </c>
      <c r="J144" t="str">
        <f t="shared" si="16"/>
        <v>Polyester Fiber</v>
      </c>
      <c r="M144" t="s">
        <v>891</v>
      </c>
      <c r="N144" t="s">
        <v>38</v>
      </c>
      <c r="O144" s="11">
        <f>_xlfn.IFNA(INDEX('Imports - Products'!$B$24:$G$40,MATCH(dataforsankey!$P144,'Imports - Products'!$A$24:$A$40,0),MATCH(dataforsankey!$N144,'Imports - Products'!$B$23:$G$23,0)),0)*10^-6</f>
        <v>0</v>
      </c>
      <c r="P144" t="s">
        <v>31</v>
      </c>
      <c r="S144" t="s">
        <v>31</v>
      </c>
      <c r="T144" t="s">
        <v>38</v>
      </c>
      <c r="U144" s="11">
        <f t="shared" si="10"/>
        <v>4.5105188479999996E-2</v>
      </c>
      <c r="V144" t="s">
        <v>31</v>
      </c>
      <c r="Y144" t="s">
        <v>31</v>
      </c>
      <c r="Z144" t="s">
        <v>38</v>
      </c>
      <c r="AA144" s="11">
        <f t="shared" si="17"/>
        <v>4.5105188479999996E-2</v>
      </c>
      <c r="AB144" t="s">
        <v>31</v>
      </c>
      <c r="AE144" t="s">
        <v>31</v>
      </c>
      <c r="AF144" t="s">
        <v>38</v>
      </c>
      <c r="AG144" s="11">
        <f t="shared" si="18"/>
        <v>4.5105188479999996E-2</v>
      </c>
      <c r="AH144" t="s">
        <v>31</v>
      </c>
    </row>
    <row r="145" spans="1:34" x14ac:dyDescent="0.2">
      <c r="A145" t="s">
        <v>121</v>
      </c>
      <c r="B145" t="s">
        <v>69</v>
      </c>
      <c r="C145" s="11">
        <f>INDEX(PlasticsUse!$B$94:$L$111,MATCH(dataforsankey!$A145,PlasticsUse!$A$94:$A$108,0),MATCH(dataforsankey!$B145,PlasticsUse!$B$93:$L$93,0))</f>
        <v>0.21037500000000003</v>
      </c>
      <c r="G145" t="str">
        <f t="shared" si="13"/>
        <v>Polyester Fiber</v>
      </c>
      <c r="H145" t="str">
        <f t="shared" si="14"/>
        <v>Transportation</v>
      </c>
      <c r="I145">
        <f t="shared" si="15"/>
        <v>0.21037500000000003</v>
      </c>
      <c r="J145" t="str">
        <f t="shared" si="16"/>
        <v>Polyester Fiber</v>
      </c>
      <c r="M145" t="s">
        <v>891</v>
      </c>
      <c r="N145" t="s">
        <v>99</v>
      </c>
      <c r="O145" s="11">
        <f>_xlfn.IFNA(INDEX('Imports - Products'!$B$24:$G$40,MATCH(dataforsankey!$P145,'Imports - Products'!$A$24:$A$40,0),MATCH(dataforsankey!$N145,'Imports - Products'!$B$23:$G$23,0)),0)*10^-6</f>
        <v>0</v>
      </c>
      <c r="P145" t="s">
        <v>31</v>
      </c>
      <c r="S145" t="s">
        <v>31</v>
      </c>
      <c r="T145" t="s">
        <v>99</v>
      </c>
      <c r="U145" s="11">
        <f t="shared" si="10"/>
        <v>0</v>
      </c>
      <c r="V145" t="s">
        <v>31</v>
      </c>
      <c r="Y145" t="s">
        <v>31</v>
      </c>
      <c r="Z145" t="s">
        <v>99</v>
      </c>
      <c r="AA145" s="11">
        <f t="shared" si="17"/>
        <v>0</v>
      </c>
      <c r="AB145" t="s">
        <v>31</v>
      </c>
      <c r="AE145" t="s">
        <v>31</v>
      </c>
      <c r="AF145" t="s">
        <v>99</v>
      </c>
      <c r="AG145" s="11">
        <f t="shared" si="18"/>
        <v>0</v>
      </c>
      <c r="AH145" t="s">
        <v>31</v>
      </c>
    </row>
    <row r="146" spans="1:34" x14ac:dyDescent="0.2">
      <c r="A146" t="s">
        <v>121</v>
      </c>
      <c r="B146" t="s">
        <v>100</v>
      </c>
      <c r="C146" s="11">
        <f>INDEX(PlasticsUse!$B$94:$L$111,MATCH(dataforsankey!$A146,PlasticsUse!$A$94:$A$108,0),MATCH(dataforsankey!$B146,PlasticsUse!$B$93:$L$93,0))</f>
        <v>0</v>
      </c>
      <c r="G146" t="str">
        <f t="shared" si="13"/>
        <v>Polyester Fiber</v>
      </c>
      <c r="H146" t="str">
        <f t="shared" si="14"/>
        <v>Industrial/Machinery</v>
      </c>
      <c r="I146">
        <f t="shared" si="15"/>
        <v>0</v>
      </c>
      <c r="J146" t="str">
        <f t="shared" si="16"/>
        <v>Polyester Fiber</v>
      </c>
      <c r="M146" t="s">
        <v>891</v>
      </c>
      <c r="N146" t="s">
        <v>69</v>
      </c>
      <c r="O146" s="11">
        <f>_xlfn.IFNA(INDEX('Imports - Products'!$B$24:$G$40,MATCH(dataforsankey!$P146,'Imports - Products'!$A$24:$A$40,0),MATCH(dataforsankey!$N146,'Imports - Products'!$B$23:$G$23,0)),0)*10^-6</f>
        <v>4.0629983761679575E-2</v>
      </c>
      <c r="P146" t="s">
        <v>31</v>
      </c>
      <c r="S146" t="s">
        <v>31</v>
      </c>
      <c r="T146" t="s">
        <v>69</v>
      </c>
      <c r="U146" s="11">
        <f t="shared" si="10"/>
        <v>0.14884712198399999</v>
      </c>
      <c r="V146" t="s">
        <v>31</v>
      </c>
      <c r="Y146" t="s">
        <v>31</v>
      </c>
      <c r="Z146" t="s">
        <v>69</v>
      </c>
      <c r="AA146" s="11">
        <f t="shared" si="17"/>
        <v>0.14884712198399999</v>
      </c>
      <c r="AB146" t="s">
        <v>31</v>
      </c>
      <c r="AE146" t="s">
        <v>31</v>
      </c>
      <c r="AF146" t="s">
        <v>69</v>
      </c>
      <c r="AG146" s="11">
        <f t="shared" si="18"/>
        <v>0.14884712198399999</v>
      </c>
      <c r="AH146" t="s">
        <v>31</v>
      </c>
    </row>
    <row r="147" spans="1:34" x14ac:dyDescent="0.2">
      <c r="A147" t="s">
        <v>121</v>
      </c>
      <c r="B147" t="s">
        <v>39</v>
      </c>
      <c r="C147" s="11">
        <f>INDEX(PlasticsUse!$B$94:$L$111,MATCH(dataforsankey!$A147,PlasticsUse!$A$94:$A$108,0),MATCH(dataforsankey!$B147,PlasticsUse!$B$93:$L$93,0))</f>
        <v>0</v>
      </c>
      <c r="G147" t="str">
        <f t="shared" si="13"/>
        <v>Polyester Fiber</v>
      </c>
      <c r="H147" t="str">
        <f t="shared" si="14"/>
        <v>Packaging</v>
      </c>
      <c r="I147">
        <f t="shared" si="15"/>
        <v>0</v>
      </c>
      <c r="J147" t="str">
        <f t="shared" si="16"/>
        <v>Polyester Fiber</v>
      </c>
      <c r="M147" t="s">
        <v>891</v>
      </c>
      <c r="N147" t="s">
        <v>100</v>
      </c>
      <c r="O147" s="11">
        <f>_xlfn.IFNA(INDEX('Imports - Products'!$B$24:$G$40,MATCH(dataforsankey!$P147,'Imports - Products'!$A$24:$A$40,0),MATCH(dataforsankey!$N147,'Imports - Products'!$B$23:$G$23,0)),0)*10^-6</f>
        <v>0</v>
      </c>
      <c r="P147" t="s">
        <v>31</v>
      </c>
      <c r="S147" t="s">
        <v>31</v>
      </c>
      <c r="T147" t="s">
        <v>100</v>
      </c>
      <c r="U147" s="11">
        <f t="shared" si="10"/>
        <v>0</v>
      </c>
      <c r="V147" t="s">
        <v>31</v>
      </c>
      <c r="Y147" t="s">
        <v>31</v>
      </c>
      <c r="Z147" t="s">
        <v>100</v>
      </c>
      <c r="AA147" s="11">
        <f t="shared" si="17"/>
        <v>0</v>
      </c>
      <c r="AB147" t="s">
        <v>31</v>
      </c>
      <c r="AE147" t="s">
        <v>31</v>
      </c>
      <c r="AF147" t="s">
        <v>100</v>
      </c>
      <c r="AG147" s="11">
        <f t="shared" si="18"/>
        <v>0</v>
      </c>
      <c r="AH147" t="s">
        <v>31</v>
      </c>
    </row>
    <row r="148" spans="1:34" x14ac:dyDescent="0.2">
      <c r="A148" t="s">
        <v>121</v>
      </c>
      <c r="B148" t="s">
        <v>68</v>
      </c>
      <c r="C148" s="11">
        <f>INDEX(PlasticsUse!$B$94:$L$111,MATCH(dataforsankey!$A148,PlasticsUse!$A$94:$A$108,0),MATCH(dataforsankey!$B148,PlasticsUse!$B$93:$L$93,0))</f>
        <v>0.70125000000000015</v>
      </c>
      <c r="G148" t="str">
        <f t="shared" si="13"/>
        <v>Polyester Fiber</v>
      </c>
      <c r="H148" t="str">
        <f t="shared" si="14"/>
        <v>Electrical/Electronic</v>
      </c>
      <c r="I148">
        <f t="shared" si="15"/>
        <v>0.70125000000000015</v>
      </c>
      <c r="J148" t="str">
        <f t="shared" si="16"/>
        <v>Polyester Fiber</v>
      </c>
      <c r="M148" t="s">
        <v>891</v>
      </c>
      <c r="N148" t="s">
        <v>39</v>
      </c>
      <c r="O148" s="11">
        <f>_xlfn.IFNA(INDEX('Imports - Products'!$B$24:$G$40,MATCH(dataforsankey!$P148,'Imports - Products'!$A$24:$A$40,0),MATCH(dataforsankey!$N148,'Imports - Products'!$B$23:$G$23,0)),0)*10^-6</f>
        <v>0</v>
      </c>
      <c r="P148" t="s">
        <v>31</v>
      </c>
      <c r="S148" t="s">
        <v>31</v>
      </c>
      <c r="T148" t="s">
        <v>39</v>
      </c>
      <c r="U148" s="11">
        <f t="shared" si="10"/>
        <v>0</v>
      </c>
      <c r="V148" t="s">
        <v>31</v>
      </c>
      <c r="Y148" t="s">
        <v>31</v>
      </c>
      <c r="Z148" t="s">
        <v>39</v>
      </c>
      <c r="AA148" s="11">
        <f t="shared" si="17"/>
        <v>0</v>
      </c>
      <c r="AB148" t="s">
        <v>31</v>
      </c>
      <c r="AE148" t="s">
        <v>31</v>
      </c>
      <c r="AF148" t="s">
        <v>39</v>
      </c>
      <c r="AG148" s="11">
        <f t="shared" si="18"/>
        <v>0</v>
      </c>
      <c r="AH148" t="s">
        <v>31</v>
      </c>
    </row>
    <row r="149" spans="1:34" x14ac:dyDescent="0.2">
      <c r="A149" t="s">
        <v>121</v>
      </c>
      <c r="B149" t="s">
        <v>91</v>
      </c>
      <c r="C149" s="11" t="e">
        <f>INDEX(PlasticsUse!$B$94:$L$111,MATCH(dataforsankey!$A149,PlasticsUse!$A$94:$A$108,0),MATCH(dataforsankey!$B149,PlasticsUse!$B$93:$L$93,0))</f>
        <v>#N/A</v>
      </c>
      <c r="G149" t="str">
        <f t="shared" si="13"/>
        <v>Polyester Fiber</v>
      </c>
      <c r="H149" t="str">
        <f t="shared" si="14"/>
        <v>Consumer and Insitutional</v>
      </c>
      <c r="I149" t="e">
        <f t="shared" si="15"/>
        <v>#N/A</v>
      </c>
      <c r="J149" t="str">
        <f t="shared" si="16"/>
        <v>Polyester Fiber</v>
      </c>
      <c r="M149" t="s">
        <v>891</v>
      </c>
      <c r="N149" t="s">
        <v>68</v>
      </c>
      <c r="O149" s="11">
        <f>_xlfn.IFNA(INDEX('Imports - Products'!$B$24:$G$40,MATCH(dataforsankey!$P149,'Imports - Products'!$A$24:$A$40,0),MATCH(dataforsankey!$N149,'Imports - Products'!$B$23:$G$23,0)),0)*10^-6</f>
        <v>0.17294909919791226</v>
      </c>
      <c r="P149" t="s">
        <v>31</v>
      </c>
      <c r="S149" t="s">
        <v>31</v>
      </c>
      <c r="T149" t="s">
        <v>68</v>
      </c>
      <c r="U149" s="11">
        <f t="shared" si="10"/>
        <v>0.49615707328000008</v>
      </c>
      <c r="V149" t="s">
        <v>31</v>
      </c>
      <c r="Y149" t="s">
        <v>31</v>
      </c>
      <c r="Z149" t="s">
        <v>68</v>
      </c>
      <c r="AA149" s="11">
        <f t="shared" si="17"/>
        <v>0.49615707328000008</v>
      </c>
      <c r="AB149" t="s">
        <v>31</v>
      </c>
      <c r="AE149" t="s">
        <v>31</v>
      </c>
      <c r="AF149" t="s">
        <v>68</v>
      </c>
      <c r="AG149" s="11">
        <f t="shared" si="18"/>
        <v>0.49615707328000008</v>
      </c>
      <c r="AH149" t="s">
        <v>31</v>
      </c>
    </row>
    <row r="150" spans="1:34" x14ac:dyDescent="0.2">
      <c r="A150" t="s">
        <v>121</v>
      </c>
      <c r="B150" t="s">
        <v>92</v>
      </c>
      <c r="C150" s="11">
        <f>INDEX(PlasticsUse!$B$94:$L$111,MATCH(dataforsankey!$A150,PlasticsUse!$A$94:$A$108,0),MATCH(dataforsankey!$B150,PlasticsUse!$B$93:$L$93,0))</f>
        <v>0</v>
      </c>
      <c r="G150" t="str">
        <f t="shared" si="13"/>
        <v>Polyester Fiber</v>
      </c>
      <c r="H150" t="str">
        <f t="shared" si="14"/>
        <v>Adhesives/Inks/Coatings</v>
      </c>
      <c r="I150">
        <f t="shared" si="15"/>
        <v>0</v>
      </c>
      <c r="J150" t="str">
        <f t="shared" si="16"/>
        <v>Polyester Fiber</v>
      </c>
      <c r="M150" t="s">
        <v>891</v>
      </c>
      <c r="N150" t="s">
        <v>63</v>
      </c>
      <c r="O150" s="11">
        <f>_xlfn.IFNA(INDEX('Imports - Products'!$B$24:$G$40,MATCH(dataforsankey!$P150,'Imports - Products'!$A$24:$A$40,0),MATCH(dataforsankey!$N150,'Imports - Products'!$B$23:$G$23,0)),0)*10^-6</f>
        <v>1.9467701227347266E-2</v>
      </c>
      <c r="P150" t="s">
        <v>31</v>
      </c>
      <c r="S150" t="s">
        <v>31</v>
      </c>
      <c r="T150" t="s">
        <v>63</v>
      </c>
      <c r="U150" s="11">
        <f t="shared" si="10"/>
        <v>0.14884712198399999</v>
      </c>
      <c r="V150" t="s">
        <v>31</v>
      </c>
      <c r="Y150" t="s">
        <v>31</v>
      </c>
      <c r="Z150" t="s">
        <v>63</v>
      </c>
      <c r="AA150" s="11">
        <f t="shared" si="17"/>
        <v>0.14884712198399999</v>
      </c>
      <c r="AB150" t="s">
        <v>31</v>
      </c>
      <c r="AE150" t="s">
        <v>31</v>
      </c>
      <c r="AF150" t="s">
        <v>63</v>
      </c>
      <c r="AG150" s="11">
        <f t="shared" si="18"/>
        <v>0.14884712198399999</v>
      </c>
      <c r="AH150" t="s">
        <v>31</v>
      </c>
    </row>
    <row r="151" spans="1:34" x14ac:dyDescent="0.2">
      <c r="A151" t="s">
        <v>121</v>
      </c>
      <c r="B151" t="s">
        <v>103</v>
      </c>
      <c r="C151" s="11">
        <f>INDEX(PlasticsUse!$B$94:$L$111,MATCH(dataforsankey!$A151,PlasticsUse!$A$94:$A$108,0),MATCH(dataforsankey!$B151,PlasticsUse!$B$93:$L$93,0))</f>
        <v>0.13300030967320553</v>
      </c>
      <c r="G151" t="str">
        <f t="shared" si="13"/>
        <v>Polyester Fiber</v>
      </c>
      <c r="H151" t="str">
        <f t="shared" si="14"/>
        <v>Textiles, Fibers and Apparel</v>
      </c>
      <c r="I151">
        <f t="shared" si="15"/>
        <v>0.13300030967320553</v>
      </c>
      <c r="J151" t="str">
        <f t="shared" si="16"/>
        <v>Polyester Fiber</v>
      </c>
      <c r="M151" t="s">
        <v>891</v>
      </c>
      <c r="N151" t="s">
        <v>92</v>
      </c>
      <c r="O151" s="11">
        <f>_xlfn.IFNA(INDEX('Imports - Products'!$B$24:$G$40,MATCH(dataforsankey!$P151,'Imports - Products'!$A$24:$A$40,0),MATCH(dataforsankey!$N151,'Imports - Products'!$B$23:$G$23,0)),0)*10^-6</f>
        <v>0</v>
      </c>
      <c r="P151" t="s">
        <v>31</v>
      </c>
      <c r="S151" t="s">
        <v>31</v>
      </c>
      <c r="T151" t="s">
        <v>92</v>
      </c>
      <c r="U151" s="11">
        <f t="shared" ref="U151:U214" si="19">SUMIFS($O$23:$O$935,$M$23:$M$935,S151,$N$23:$N$935,T151,$P$23:$P$935,V151)</f>
        <v>0</v>
      </c>
      <c r="V151" t="s">
        <v>31</v>
      </c>
      <c r="Y151" t="s">
        <v>31</v>
      </c>
      <c r="Z151" t="s">
        <v>92</v>
      </c>
      <c r="AA151" s="11">
        <f t="shared" ref="AA151:AA182" si="20">SUMIFS($O$23:$O$953,$M$23:$M$953,Y151,$N$23:$N$953,Z151,$P$23:$P$953,AB151)</f>
        <v>0</v>
      </c>
      <c r="AB151" t="s">
        <v>31</v>
      </c>
      <c r="AE151" t="s">
        <v>31</v>
      </c>
      <c r="AF151" t="s">
        <v>92</v>
      </c>
      <c r="AG151" s="11">
        <f t="shared" ref="AG151:AG182" si="21">SUMIFS($O$23:$O$953,$M$23:$M$953,AE151,$N$23:$N$953,AF151,$P$23:$P$953,AH151)</f>
        <v>0</v>
      </c>
      <c r="AH151" t="s">
        <v>31</v>
      </c>
    </row>
    <row r="152" spans="1:34" x14ac:dyDescent="0.2">
      <c r="A152" t="s">
        <v>121</v>
      </c>
      <c r="B152" t="s">
        <v>86</v>
      </c>
      <c r="C152" s="11">
        <f>INDEX(PlasticsUse!$B$94:$L$111,MATCH(dataforsankey!$A152,PlasticsUse!$A$94:$A$108,0),MATCH(dataforsankey!$B152,PlasticsUse!$B$93:$L$93,0))</f>
        <v>8.9249999999999802E-2</v>
      </c>
      <c r="G152" t="str">
        <f t="shared" ref="G152:G208" si="22">A152</f>
        <v>Polyester Fiber</v>
      </c>
      <c r="H152" t="str">
        <f t="shared" ref="H152:H208" si="23">B152</f>
        <v>Other End Use Markets</v>
      </c>
      <c r="I152">
        <f t="shared" ref="I152:I208" si="24">C152</f>
        <v>8.9249999999999802E-2</v>
      </c>
      <c r="J152" t="str">
        <f t="shared" ref="J152:J208" si="25">G152</f>
        <v>Polyester Fiber</v>
      </c>
      <c r="M152" t="s">
        <v>891</v>
      </c>
      <c r="N152" t="s">
        <v>103</v>
      </c>
      <c r="O152" s="11">
        <f>_xlfn.IFNA(INDEX('Imports - Products'!$B$24:$G$40,MATCH(dataforsankey!$P152,'Imports - Products'!$A$24:$A$40,0),MATCH(dataforsankey!$N152,'Imports - Products'!$B$23:$G$23,0)),0)*10^-6</f>
        <v>0</v>
      </c>
      <c r="P152" t="s">
        <v>31</v>
      </c>
      <c r="S152" t="s">
        <v>31</v>
      </c>
      <c r="T152" t="s">
        <v>103</v>
      </c>
      <c r="U152" s="11">
        <f t="shared" si="19"/>
        <v>0</v>
      </c>
      <c r="V152" t="s">
        <v>31</v>
      </c>
      <c r="Y152" t="s">
        <v>31</v>
      </c>
      <c r="Z152" t="s">
        <v>103</v>
      </c>
      <c r="AA152" s="11">
        <f t="shared" si="20"/>
        <v>0</v>
      </c>
      <c r="AB152" t="s">
        <v>31</v>
      </c>
      <c r="AE152" t="s">
        <v>31</v>
      </c>
      <c r="AF152" t="s">
        <v>103</v>
      </c>
      <c r="AG152" s="11">
        <f t="shared" si="21"/>
        <v>0</v>
      </c>
      <c r="AH152" t="s">
        <v>31</v>
      </c>
    </row>
    <row r="153" spans="1:34" x14ac:dyDescent="0.2">
      <c r="A153" t="s">
        <v>121</v>
      </c>
      <c r="B153" t="s">
        <v>18</v>
      </c>
      <c r="C153" s="11">
        <f>INDEX(PlasticsUse!$B$94:$L$111,MATCH(dataforsankey!$A153,PlasticsUse!$A$94:$A$108,0),MATCH(dataforsankey!$B153,PlasticsUse!$B$93:$L$93,0))</f>
        <v>0</v>
      </c>
      <c r="G153" t="str">
        <f t="shared" si="22"/>
        <v>Polyester Fiber</v>
      </c>
      <c r="H153" t="str">
        <f t="shared" si="23"/>
        <v>Exports</v>
      </c>
      <c r="I153">
        <f t="shared" si="24"/>
        <v>0</v>
      </c>
      <c r="J153" t="str">
        <f t="shared" si="25"/>
        <v>Polyester Fiber</v>
      </c>
      <c r="M153" t="s">
        <v>891</v>
      </c>
      <c r="N153" t="s">
        <v>86</v>
      </c>
      <c r="O153" s="11">
        <f>_xlfn.IFNA(INDEX('Imports - Products'!$B$24:$G$40,MATCH(dataforsankey!$P153,'Imports - Products'!$A$24:$A$40,0),MATCH(dataforsankey!$N153,'Imports - Products'!$B$23:$G$23,0)),0)*10^-6</f>
        <v>0</v>
      </c>
      <c r="P153" t="s">
        <v>31</v>
      </c>
      <c r="S153" t="s">
        <v>31</v>
      </c>
      <c r="T153" t="s">
        <v>86</v>
      </c>
      <c r="U153" s="11">
        <f t="shared" si="19"/>
        <v>6.3147263871999842E-2</v>
      </c>
      <c r="V153" t="s">
        <v>31</v>
      </c>
      <c r="Y153" t="s">
        <v>31</v>
      </c>
      <c r="Z153" t="s">
        <v>86</v>
      </c>
      <c r="AA153" s="11">
        <f t="shared" si="20"/>
        <v>6.3147263871999842E-2</v>
      </c>
      <c r="AB153" t="s">
        <v>31</v>
      </c>
      <c r="AE153" t="s">
        <v>31</v>
      </c>
      <c r="AF153" t="s">
        <v>86</v>
      </c>
      <c r="AG153" s="11">
        <f t="shared" si="21"/>
        <v>6.3147263871999842E-2</v>
      </c>
      <c r="AH153" t="s">
        <v>31</v>
      </c>
    </row>
    <row r="154" spans="1:34" x14ac:dyDescent="0.2">
      <c r="A154" t="s">
        <v>31</v>
      </c>
      <c r="B154" t="s">
        <v>38</v>
      </c>
      <c r="C154" s="11">
        <f>INDEX(PlasticsUse!$B$94:$L$111,MATCH(dataforsankey!$A154,PlasticsUse!$A$94:$A$108,0),MATCH(dataforsankey!$B154,PlasticsUse!$B$93:$L$93,0))</f>
        <v>0</v>
      </c>
      <c r="G154" t="str">
        <f t="shared" si="22"/>
        <v>ABS</v>
      </c>
      <c r="H154" t="str">
        <f t="shared" si="23"/>
        <v>Building and Construction</v>
      </c>
      <c r="I154">
        <f t="shared" si="24"/>
        <v>0</v>
      </c>
      <c r="J154" t="str">
        <f t="shared" si="25"/>
        <v>ABS</v>
      </c>
      <c r="M154" t="s">
        <v>891</v>
      </c>
      <c r="N154" t="s">
        <v>18</v>
      </c>
      <c r="O154" s="11">
        <f>_xlfn.IFNA(INDEX('Imports - Products'!$B$24:$G$40,MATCH(dataforsankey!$P154,'Imports - Products'!$A$24:$A$40,0),MATCH(dataforsankey!$N154,'Imports - Products'!$B$23:$G$23,0)),0)*10^-6</f>
        <v>0</v>
      </c>
      <c r="P154" t="s">
        <v>31</v>
      </c>
      <c r="S154" t="s">
        <v>31</v>
      </c>
      <c r="T154" t="s">
        <v>18</v>
      </c>
      <c r="U154" s="11">
        <f t="shared" si="19"/>
        <v>0</v>
      </c>
      <c r="V154" t="s">
        <v>31</v>
      </c>
      <c r="Y154" t="s">
        <v>31</v>
      </c>
      <c r="Z154" t="s">
        <v>18</v>
      </c>
      <c r="AA154" s="11">
        <f t="shared" si="20"/>
        <v>0</v>
      </c>
      <c r="AB154" t="s">
        <v>31</v>
      </c>
      <c r="AE154" t="s">
        <v>31</v>
      </c>
      <c r="AF154" t="s">
        <v>18</v>
      </c>
      <c r="AG154" s="11">
        <f t="shared" si="21"/>
        <v>0</v>
      </c>
      <c r="AH154" t="s">
        <v>31</v>
      </c>
    </row>
    <row r="155" spans="1:34" x14ac:dyDescent="0.2">
      <c r="A155" t="s">
        <v>31</v>
      </c>
      <c r="B155" t="s">
        <v>99</v>
      </c>
      <c r="C155" s="11">
        <f>INDEX(PlasticsUse!$B$94:$L$111,MATCH(dataforsankey!$A155,PlasticsUse!$A$94:$A$108,0),MATCH(dataforsankey!$B155,PlasticsUse!$B$93:$L$93,0))</f>
        <v>0.20115182998911224</v>
      </c>
      <c r="G155" t="str">
        <f t="shared" si="22"/>
        <v>ABS</v>
      </c>
      <c r="H155" t="str">
        <f t="shared" si="23"/>
        <v>Furniture and Furnishings</v>
      </c>
      <c r="I155">
        <f t="shared" si="24"/>
        <v>0.20115182998911224</v>
      </c>
      <c r="J155" t="str">
        <f t="shared" si="25"/>
        <v>ABS</v>
      </c>
      <c r="M155" t="s">
        <v>891</v>
      </c>
      <c r="N155" t="s">
        <v>38</v>
      </c>
      <c r="O155" s="11">
        <f>_xlfn.IFNA(INDEX('Imports - Products'!$B$24:$G$40,MATCH(dataforsankey!$P155,'Imports - Products'!$A$24:$A$40,0),MATCH(dataforsankey!$N155,'Imports - Products'!$B$23:$G$23,0)),0)*10^-6</f>
        <v>0</v>
      </c>
      <c r="P155" t="s">
        <v>122</v>
      </c>
      <c r="S155" t="s">
        <v>122</v>
      </c>
      <c r="T155" t="s">
        <v>38</v>
      </c>
      <c r="U155" s="11">
        <f t="shared" si="19"/>
        <v>0</v>
      </c>
      <c r="V155" t="s">
        <v>122</v>
      </c>
      <c r="Y155" t="s">
        <v>122</v>
      </c>
      <c r="Z155" t="s">
        <v>38</v>
      </c>
      <c r="AA155" s="11">
        <f t="shared" si="20"/>
        <v>0</v>
      </c>
      <c r="AB155" t="s">
        <v>122</v>
      </c>
      <c r="AE155" t="s">
        <v>122</v>
      </c>
      <c r="AF155" t="s">
        <v>38</v>
      </c>
      <c r="AG155" s="11">
        <f t="shared" si="21"/>
        <v>0</v>
      </c>
      <c r="AH155" t="s">
        <v>122</v>
      </c>
    </row>
    <row r="156" spans="1:34" x14ac:dyDescent="0.2">
      <c r="A156" t="s">
        <v>31</v>
      </c>
      <c r="B156" t="s">
        <v>69</v>
      </c>
      <c r="C156" s="11">
        <f>INDEX(PlasticsUse!$B$94:$L$111,MATCH(dataforsankey!$A156,PlasticsUse!$A$94:$A$108,0),MATCH(dataforsankey!$B156,PlasticsUse!$B$93:$L$93,0))</f>
        <v>4.0629983761679575E-2</v>
      </c>
      <c r="G156" t="str">
        <f t="shared" si="22"/>
        <v>ABS</v>
      </c>
      <c r="H156" t="str">
        <f t="shared" si="23"/>
        <v>Transportation</v>
      </c>
      <c r="I156">
        <f t="shared" si="24"/>
        <v>4.0629983761679575E-2</v>
      </c>
      <c r="J156" t="str">
        <f t="shared" si="25"/>
        <v>ABS</v>
      </c>
      <c r="M156" t="s">
        <v>891</v>
      </c>
      <c r="N156" t="s">
        <v>99</v>
      </c>
      <c r="O156" s="11">
        <f>_xlfn.IFNA(INDEX('Imports - Products'!$B$24:$G$40,MATCH(dataforsankey!$P156,'Imports - Products'!$A$24:$A$40,0),MATCH(dataforsankey!$N156,'Imports - Products'!$B$23:$G$23,0)),0)*10^-6</f>
        <v>0</v>
      </c>
      <c r="P156" t="s">
        <v>122</v>
      </c>
      <c r="S156" t="s">
        <v>122</v>
      </c>
      <c r="T156" t="s">
        <v>99</v>
      </c>
      <c r="U156" s="11">
        <f t="shared" si="19"/>
        <v>0</v>
      </c>
      <c r="V156" t="s">
        <v>122</v>
      </c>
      <c r="Y156" t="s">
        <v>122</v>
      </c>
      <c r="Z156" t="s">
        <v>99</v>
      </c>
      <c r="AA156" s="11">
        <f t="shared" si="20"/>
        <v>0</v>
      </c>
      <c r="AB156" t="s">
        <v>122</v>
      </c>
      <c r="AE156" t="s">
        <v>122</v>
      </c>
      <c r="AF156" t="s">
        <v>99</v>
      </c>
      <c r="AG156" s="11">
        <f t="shared" si="21"/>
        <v>0</v>
      </c>
      <c r="AH156" t="s">
        <v>122</v>
      </c>
    </row>
    <row r="157" spans="1:34" x14ac:dyDescent="0.2">
      <c r="A157" t="s">
        <v>31</v>
      </c>
      <c r="B157" t="s">
        <v>100</v>
      </c>
      <c r="C157" s="11">
        <f>INDEX(PlasticsUse!$B$94:$L$111,MATCH(dataforsankey!$A157,PlasticsUse!$A$94:$A$108,0),MATCH(dataforsankey!$B157,PlasticsUse!$B$93:$L$93,0))</f>
        <v>0.10057591499455612</v>
      </c>
      <c r="G157" t="str">
        <f t="shared" si="22"/>
        <v>ABS</v>
      </c>
      <c r="H157" t="str">
        <f t="shared" si="23"/>
        <v>Industrial/Machinery</v>
      </c>
      <c r="I157">
        <f t="shared" si="24"/>
        <v>0.10057591499455612</v>
      </c>
      <c r="J157" t="str">
        <f t="shared" si="25"/>
        <v>ABS</v>
      </c>
      <c r="M157" t="s">
        <v>891</v>
      </c>
      <c r="N157" t="s">
        <v>69</v>
      </c>
      <c r="O157" s="11">
        <f>_xlfn.IFNA(INDEX('Imports - Products'!$B$24:$G$40,MATCH(dataforsankey!$P157,'Imports - Products'!$A$24:$A$40,0),MATCH(dataforsankey!$N157,'Imports - Products'!$B$23:$G$23,0)),0)*10^-6</f>
        <v>0</v>
      </c>
      <c r="P157" t="s">
        <v>122</v>
      </c>
      <c r="S157" t="s">
        <v>122</v>
      </c>
      <c r="T157" t="s">
        <v>69</v>
      </c>
      <c r="U157" s="11">
        <f t="shared" si="19"/>
        <v>0</v>
      </c>
      <c r="V157" t="s">
        <v>122</v>
      </c>
      <c r="Y157" t="s">
        <v>122</v>
      </c>
      <c r="Z157" t="s">
        <v>69</v>
      </c>
      <c r="AA157" s="11">
        <f t="shared" si="20"/>
        <v>0</v>
      </c>
      <c r="AB157" t="s">
        <v>122</v>
      </c>
      <c r="AE157" t="s">
        <v>122</v>
      </c>
      <c r="AF157" t="s">
        <v>69</v>
      </c>
      <c r="AG157" s="11">
        <f t="shared" si="21"/>
        <v>0</v>
      </c>
      <c r="AH157" t="s">
        <v>122</v>
      </c>
    </row>
    <row r="158" spans="1:34" x14ac:dyDescent="0.2">
      <c r="A158" t="s">
        <v>31</v>
      </c>
      <c r="B158" t="s">
        <v>39</v>
      </c>
      <c r="C158" s="11">
        <f>INDEX(PlasticsUse!$B$94:$L$111,MATCH(dataforsankey!$A158,PlasticsUse!$A$94:$A$108,0),MATCH(dataforsankey!$B158,PlasticsUse!$B$93:$L$93,0))</f>
        <v>0</v>
      </c>
      <c r="G158" t="str">
        <f t="shared" si="22"/>
        <v>ABS</v>
      </c>
      <c r="H158" t="str">
        <f t="shared" si="23"/>
        <v>Packaging</v>
      </c>
      <c r="I158">
        <f t="shared" si="24"/>
        <v>0</v>
      </c>
      <c r="J158" t="str">
        <f t="shared" si="25"/>
        <v>ABS</v>
      </c>
      <c r="M158" t="s">
        <v>891</v>
      </c>
      <c r="N158" t="s">
        <v>100</v>
      </c>
      <c r="O158" s="11">
        <f>_xlfn.IFNA(INDEX('Imports - Products'!$B$24:$G$40,MATCH(dataforsankey!$P158,'Imports - Products'!$A$24:$A$40,0),MATCH(dataforsankey!$N158,'Imports - Products'!$B$23:$G$23,0)),0)*10^-6</f>
        <v>0</v>
      </c>
      <c r="P158" t="s">
        <v>122</v>
      </c>
      <c r="S158" t="s">
        <v>122</v>
      </c>
      <c r="T158" t="s">
        <v>100</v>
      </c>
      <c r="U158" s="11">
        <f t="shared" si="19"/>
        <v>0</v>
      </c>
      <c r="V158" t="s">
        <v>122</v>
      </c>
      <c r="Y158" t="s">
        <v>122</v>
      </c>
      <c r="Z158" t="s">
        <v>100</v>
      </c>
      <c r="AA158" s="11">
        <f t="shared" si="20"/>
        <v>0</v>
      </c>
      <c r="AB158" t="s">
        <v>122</v>
      </c>
      <c r="AE158" t="s">
        <v>122</v>
      </c>
      <c r="AF158" t="s">
        <v>100</v>
      </c>
      <c r="AG158" s="11">
        <f t="shared" si="21"/>
        <v>0</v>
      </c>
      <c r="AH158" t="s">
        <v>122</v>
      </c>
    </row>
    <row r="159" spans="1:34" x14ac:dyDescent="0.2">
      <c r="A159" t="s">
        <v>31</v>
      </c>
      <c r="B159" t="s">
        <v>68</v>
      </c>
      <c r="C159" s="11">
        <f>INDEX(PlasticsUse!$B$94:$L$111,MATCH(dataforsankey!$A159,PlasticsUse!$A$94:$A$108,0),MATCH(dataforsankey!$B159,PlasticsUse!$B$93:$L$93,0))</f>
        <v>0.17294909919791226</v>
      </c>
      <c r="G159" t="str">
        <f t="shared" si="22"/>
        <v>ABS</v>
      </c>
      <c r="H159" t="str">
        <f t="shared" si="23"/>
        <v>Electrical/Electronic</v>
      </c>
      <c r="I159">
        <f t="shared" si="24"/>
        <v>0.17294909919791226</v>
      </c>
      <c r="J159" t="str">
        <f t="shared" si="25"/>
        <v>ABS</v>
      </c>
      <c r="M159" t="s">
        <v>891</v>
      </c>
      <c r="N159" t="s">
        <v>39</v>
      </c>
      <c r="O159" s="11">
        <f>_xlfn.IFNA(INDEX('Imports - Products'!$B$24:$G$40,MATCH(dataforsankey!$P159,'Imports - Products'!$A$24:$A$40,0),MATCH(dataforsankey!$N159,'Imports - Products'!$B$23:$G$23,0)),0)*10^-6</f>
        <v>0</v>
      </c>
      <c r="P159" t="s">
        <v>122</v>
      </c>
      <c r="S159" t="s">
        <v>122</v>
      </c>
      <c r="T159" t="s">
        <v>39</v>
      </c>
      <c r="U159" s="11">
        <f t="shared" si="19"/>
        <v>0</v>
      </c>
      <c r="V159" t="s">
        <v>122</v>
      </c>
      <c r="Y159" t="s">
        <v>122</v>
      </c>
      <c r="Z159" t="s">
        <v>39</v>
      </c>
      <c r="AA159" s="11">
        <f t="shared" si="20"/>
        <v>0</v>
      </c>
      <c r="AB159" t="s">
        <v>122</v>
      </c>
      <c r="AE159" t="s">
        <v>122</v>
      </c>
      <c r="AF159" t="s">
        <v>39</v>
      </c>
      <c r="AG159" s="11">
        <f t="shared" si="21"/>
        <v>0</v>
      </c>
      <c r="AH159" t="s">
        <v>122</v>
      </c>
    </row>
    <row r="160" spans="1:34" x14ac:dyDescent="0.2">
      <c r="A160" t="s">
        <v>31</v>
      </c>
      <c r="B160" t="s">
        <v>91</v>
      </c>
      <c r="C160" s="11" t="e">
        <f>INDEX(PlasticsUse!$B$94:$L$111,MATCH(dataforsankey!$A160,PlasticsUse!$A$94:$A$108,0),MATCH(dataforsankey!$B160,PlasticsUse!$B$93:$L$93,0))</f>
        <v>#N/A</v>
      </c>
      <c r="G160" t="str">
        <f t="shared" si="22"/>
        <v>ABS</v>
      </c>
      <c r="H160" t="str">
        <f t="shared" si="23"/>
        <v>Consumer and Insitutional</v>
      </c>
      <c r="I160" t="e">
        <f t="shared" si="24"/>
        <v>#N/A</v>
      </c>
      <c r="J160" t="str">
        <f t="shared" si="25"/>
        <v>ABS</v>
      </c>
      <c r="M160" t="s">
        <v>891</v>
      </c>
      <c r="N160" t="s">
        <v>68</v>
      </c>
      <c r="O160" s="11">
        <f>_xlfn.IFNA(INDEX('Imports - Products'!$B$24:$G$40,MATCH(dataforsankey!$P160,'Imports - Products'!$A$24:$A$40,0),MATCH(dataforsankey!$N160,'Imports - Products'!$B$23:$G$23,0)),0)*10^-6</f>
        <v>0</v>
      </c>
      <c r="P160" t="s">
        <v>122</v>
      </c>
      <c r="S160" t="s">
        <v>122</v>
      </c>
      <c r="T160" t="s">
        <v>68</v>
      </c>
      <c r="U160" s="11">
        <f t="shared" si="19"/>
        <v>0</v>
      </c>
      <c r="V160" t="s">
        <v>122</v>
      </c>
      <c r="Y160" t="s">
        <v>122</v>
      </c>
      <c r="Z160" t="s">
        <v>68</v>
      </c>
      <c r="AA160" s="11">
        <f t="shared" si="20"/>
        <v>0</v>
      </c>
      <c r="AB160" t="s">
        <v>122</v>
      </c>
      <c r="AE160" t="s">
        <v>122</v>
      </c>
      <c r="AF160" t="s">
        <v>68</v>
      </c>
      <c r="AG160" s="11">
        <f t="shared" si="21"/>
        <v>0</v>
      </c>
      <c r="AH160" t="s">
        <v>122</v>
      </c>
    </row>
    <row r="161" spans="1:34" x14ac:dyDescent="0.2">
      <c r="A161" t="s">
        <v>31</v>
      </c>
      <c r="B161" t="s">
        <v>92</v>
      </c>
      <c r="C161" s="11">
        <f>INDEX(PlasticsUse!$B$94:$L$111,MATCH(dataforsankey!$A161,PlasticsUse!$A$94:$A$108,0),MATCH(dataforsankey!$B161,PlasticsUse!$B$93:$L$93,0))</f>
        <v>0</v>
      </c>
      <c r="G161" t="str">
        <f t="shared" si="22"/>
        <v>ABS</v>
      </c>
      <c r="H161" t="str">
        <f t="shared" si="23"/>
        <v>Adhesives/Inks/Coatings</v>
      </c>
      <c r="I161">
        <f t="shared" si="24"/>
        <v>0</v>
      </c>
      <c r="J161" t="str">
        <f t="shared" si="25"/>
        <v>ABS</v>
      </c>
      <c r="M161" t="s">
        <v>891</v>
      </c>
      <c r="N161" t="s">
        <v>63</v>
      </c>
      <c r="O161" s="11">
        <f>_xlfn.IFNA(INDEX('Imports - Products'!$B$24:$G$40,MATCH(dataforsankey!$P161,'Imports - Products'!$A$24:$A$40,0),MATCH(dataforsankey!$N161,'Imports - Products'!$B$23:$G$23,0)),0)*10^-6</f>
        <v>0</v>
      </c>
      <c r="P161" t="s">
        <v>122</v>
      </c>
      <c r="S161" t="s">
        <v>122</v>
      </c>
      <c r="T161" t="s">
        <v>63</v>
      </c>
      <c r="U161" s="11">
        <f t="shared" si="19"/>
        <v>0</v>
      </c>
      <c r="V161" t="s">
        <v>122</v>
      </c>
      <c r="Y161" t="s">
        <v>122</v>
      </c>
      <c r="Z161" t="s">
        <v>63</v>
      </c>
      <c r="AA161" s="11">
        <f t="shared" si="20"/>
        <v>0</v>
      </c>
      <c r="AB161" t="s">
        <v>122</v>
      </c>
      <c r="AE161" t="s">
        <v>122</v>
      </c>
      <c r="AF161" t="s">
        <v>63</v>
      </c>
      <c r="AG161" s="11">
        <f t="shared" si="21"/>
        <v>0</v>
      </c>
      <c r="AH161" t="s">
        <v>122</v>
      </c>
    </row>
    <row r="162" spans="1:34" x14ac:dyDescent="0.2">
      <c r="A162" t="s">
        <v>31</v>
      </c>
      <c r="B162" t="s">
        <v>103</v>
      </c>
      <c r="C162" s="11">
        <f>INDEX(PlasticsUse!$B$94:$L$111,MATCH(dataforsankey!$A162,PlasticsUse!$A$94:$A$108,0),MATCH(dataforsankey!$B162,PlasticsUse!$B$93:$L$93,0))</f>
        <v>0.65374344746461477</v>
      </c>
      <c r="G162" t="str">
        <f t="shared" si="22"/>
        <v>ABS</v>
      </c>
      <c r="H162" t="str">
        <f t="shared" si="23"/>
        <v>Textiles, Fibers and Apparel</v>
      </c>
      <c r="I162">
        <f t="shared" si="24"/>
        <v>0.65374344746461477</v>
      </c>
      <c r="J162" t="str">
        <f t="shared" si="25"/>
        <v>ABS</v>
      </c>
      <c r="M162" t="s">
        <v>891</v>
      </c>
      <c r="N162" t="s">
        <v>92</v>
      </c>
      <c r="O162" s="11">
        <f>_xlfn.IFNA(INDEX('Imports - Products'!$B$24:$G$40,MATCH(dataforsankey!$P162,'Imports - Products'!$A$24:$A$40,0),MATCH(dataforsankey!$N162,'Imports - Products'!$B$23:$G$23,0)),0)*10^-6</f>
        <v>0</v>
      </c>
      <c r="P162" t="s">
        <v>122</v>
      </c>
      <c r="S162" t="s">
        <v>122</v>
      </c>
      <c r="T162" t="s">
        <v>92</v>
      </c>
      <c r="U162" s="11">
        <f t="shared" si="19"/>
        <v>0</v>
      </c>
      <c r="V162" t="s">
        <v>122</v>
      </c>
      <c r="Y162" t="s">
        <v>122</v>
      </c>
      <c r="Z162" t="s">
        <v>92</v>
      </c>
      <c r="AA162" s="11">
        <f t="shared" si="20"/>
        <v>0</v>
      </c>
      <c r="AB162" t="s">
        <v>122</v>
      </c>
      <c r="AE162" t="s">
        <v>122</v>
      </c>
      <c r="AF162" t="s">
        <v>92</v>
      </c>
      <c r="AG162" s="11">
        <f t="shared" si="21"/>
        <v>0</v>
      </c>
      <c r="AH162" t="s">
        <v>122</v>
      </c>
    </row>
    <row r="163" spans="1:34" x14ac:dyDescent="0.2">
      <c r="A163" t="s">
        <v>31</v>
      </c>
      <c r="B163" t="s">
        <v>86</v>
      </c>
      <c r="C163" s="11">
        <f>INDEX(PlasticsUse!$B$94:$L$111,MATCH(dataforsankey!$A163,PlasticsUse!$A$94:$A$108,0),MATCH(dataforsankey!$B163,PlasticsUse!$B$93:$L$93,0))</f>
        <v>0</v>
      </c>
      <c r="G163" t="str">
        <f t="shared" si="22"/>
        <v>ABS</v>
      </c>
      <c r="H163" t="str">
        <f t="shared" si="23"/>
        <v>Other End Use Markets</v>
      </c>
      <c r="I163">
        <f t="shared" si="24"/>
        <v>0</v>
      </c>
      <c r="J163" t="str">
        <f t="shared" si="25"/>
        <v>ABS</v>
      </c>
      <c r="M163" t="s">
        <v>891</v>
      </c>
      <c r="N163" t="s">
        <v>103</v>
      </c>
      <c r="O163" s="11">
        <f>_xlfn.IFNA(INDEX('Imports - Products'!$B$24:$G$40,MATCH(dataforsankey!$P163,'Imports - Products'!$A$24:$A$40,0),MATCH(dataforsankey!$N163,'Imports - Products'!$B$23:$G$23,0)),0)*10^-6</f>
        <v>0</v>
      </c>
      <c r="P163" t="s">
        <v>122</v>
      </c>
      <c r="S163" t="s">
        <v>122</v>
      </c>
      <c r="T163" t="s">
        <v>103</v>
      </c>
      <c r="U163" s="11">
        <f t="shared" si="19"/>
        <v>0</v>
      </c>
      <c r="V163" t="s">
        <v>122</v>
      </c>
      <c r="Y163" t="s">
        <v>122</v>
      </c>
      <c r="Z163" t="s">
        <v>103</v>
      </c>
      <c r="AA163" s="11">
        <f t="shared" si="20"/>
        <v>0</v>
      </c>
      <c r="AB163" t="s">
        <v>122</v>
      </c>
      <c r="AE163" t="s">
        <v>122</v>
      </c>
      <c r="AF163" t="s">
        <v>103</v>
      </c>
      <c r="AG163" s="11">
        <f t="shared" si="21"/>
        <v>0</v>
      </c>
      <c r="AH163" t="s">
        <v>122</v>
      </c>
    </row>
    <row r="164" spans="1:34" x14ac:dyDescent="0.2">
      <c r="A164" t="s">
        <v>31</v>
      </c>
      <c r="B164" t="s">
        <v>18</v>
      </c>
      <c r="C164" s="11">
        <f>INDEX(PlasticsUse!$B$94:$L$111,MATCH(dataforsankey!$A164,PlasticsUse!$A$94:$A$108,0),MATCH(dataforsankey!$B164,PlasticsUse!$B$93:$L$93,0))</f>
        <v>5.028795749727806E-2</v>
      </c>
      <c r="G164" t="str">
        <f t="shared" si="22"/>
        <v>ABS</v>
      </c>
      <c r="H164" t="str">
        <f t="shared" si="23"/>
        <v>Exports</v>
      </c>
      <c r="I164">
        <f t="shared" si="24"/>
        <v>5.028795749727806E-2</v>
      </c>
      <c r="J164" t="str">
        <f t="shared" si="25"/>
        <v>ABS</v>
      </c>
      <c r="M164" t="s">
        <v>891</v>
      </c>
      <c r="N164" t="s">
        <v>86</v>
      </c>
      <c r="O164" s="11">
        <f>_xlfn.IFNA(INDEX('Imports - Products'!$B$24:$G$40,MATCH(dataforsankey!$P164,'Imports - Products'!$A$24:$A$40,0),MATCH(dataforsankey!$N164,'Imports - Products'!$B$23:$G$23,0)),0)*10^-6</f>
        <v>0</v>
      </c>
      <c r="P164" t="s">
        <v>122</v>
      </c>
      <c r="S164" t="s">
        <v>122</v>
      </c>
      <c r="T164" t="s">
        <v>86</v>
      </c>
      <c r="U164" s="11">
        <f t="shared" si="19"/>
        <v>0.6</v>
      </c>
      <c r="V164" t="s">
        <v>122</v>
      </c>
      <c r="Y164" t="s">
        <v>122</v>
      </c>
      <c r="Z164" t="s">
        <v>86</v>
      </c>
      <c r="AA164" s="11">
        <f t="shared" si="20"/>
        <v>0.6</v>
      </c>
      <c r="AB164" t="s">
        <v>122</v>
      </c>
      <c r="AE164" t="s">
        <v>122</v>
      </c>
      <c r="AF164" t="s">
        <v>86</v>
      </c>
      <c r="AG164" s="11">
        <f t="shared" si="21"/>
        <v>0.6</v>
      </c>
      <c r="AH164" t="s">
        <v>122</v>
      </c>
    </row>
    <row r="165" spans="1:34" x14ac:dyDescent="0.2">
      <c r="A165" t="s">
        <v>32</v>
      </c>
      <c r="B165" t="s">
        <v>38</v>
      </c>
      <c r="C165" s="11">
        <f>INDEX(PlasticsUse!$B$94:$L$111,MATCH(dataforsankey!$A165,PlasticsUse!$A$94:$A$108,0),MATCH(dataforsankey!$B165,PlasticsUse!$B$93:$L$93,0))</f>
        <v>0.806759233070793</v>
      </c>
      <c r="G165" t="str">
        <f t="shared" si="22"/>
        <v>Polycarbonate</v>
      </c>
      <c r="H165" t="str">
        <f t="shared" si="23"/>
        <v>Building and Construction</v>
      </c>
      <c r="I165">
        <f t="shared" si="24"/>
        <v>0.806759233070793</v>
      </c>
      <c r="J165" t="str">
        <f t="shared" si="25"/>
        <v>Polycarbonate</v>
      </c>
      <c r="M165" t="s">
        <v>891</v>
      </c>
      <c r="N165" t="s">
        <v>18</v>
      </c>
      <c r="O165" s="11">
        <f>_xlfn.IFNA(INDEX('Imports - Products'!$B$24:$G$40,MATCH(dataforsankey!$P165,'Imports - Products'!$A$24:$A$40,0),MATCH(dataforsankey!$N165,'Imports - Products'!$B$23:$G$23,0)),0)*10^-6</f>
        <v>0</v>
      </c>
      <c r="P165" t="s">
        <v>122</v>
      </c>
      <c r="S165" t="s">
        <v>122</v>
      </c>
      <c r="T165" t="s">
        <v>18</v>
      </c>
      <c r="U165" s="11">
        <f t="shared" si="19"/>
        <v>0</v>
      </c>
      <c r="V165" t="s">
        <v>122</v>
      </c>
      <c r="Y165" t="s">
        <v>122</v>
      </c>
      <c r="Z165" t="s">
        <v>18</v>
      </c>
      <c r="AA165" s="11">
        <f t="shared" si="20"/>
        <v>0</v>
      </c>
      <c r="AB165" t="s">
        <v>122</v>
      </c>
      <c r="AE165" t="s">
        <v>122</v>
      </c>
      <c r="AF165" t="s">
        <v>18</v>
      </c>
      <c r="AG165" s="11">
        <f t="shared" si="21"/>
        <v>0</v>
      </c>
      <c r="AH165" t="s">
        <v>122</v>
      </c>
    </row>
    <row r="166" spans="1:34" x14ac:dyDescent="0.2">
      <c r="A166" t="s">
        <v>32</v>
      </c>
      <c r="B166" t="s">
        <v>99</v>
      </c>
      <c r="C166" s="11">
        <f>INDEX(PlasticsUse!$B$94:$L$111,MATCH(dataforsankey!$A166,PlasticsUse!$A$94:$A$108,0),MATCH(dataforsankey!$B166,PlasticsUse!$B$93:$L$93,0))</f>
        <v>0</v>
      </c>
      <c r="G166" t="str">
        <f t="shared" si="22"/>
        <v>Polycarbonate</v>
      </c>
      <c r="H166" t="str">
        <f t="shared" si="23"/>
        <v>Furniture and Furnishings</v>
      </c>
      <c r="I166">
        <f t="shared" si="24"/>
        <v>0</v>
      </c>
      <c r="J166" t="str">
        <f t="shared" si="25"/>
        <v>Polycarbonate</v>
      </c>
      <c r="M166" t="s">
        <v>891</v>
      </c>
      <c r="N166" t="s">
        <v>38</v>
      </c>
      <c r="O166" s="11">
        <f>_xlfn.IFNA(INDEX('Imports - Products'!$B$24:$G$40,MATCH(dataforsankey!$P166,'Imports - Products'!$A$24:$A$40,0),MATCH(dataforsankey!$N166,'Imports - Products'!$B$23:$G$23,0)),0)*10^-6</f>
        <v>0</v>
      </c>
      <c r="P166" t="s">
        <v>32</v>
      </c>
      <c r="S166" t="s">
        <v>32</v>
      </c>
      <c r="T166" t="s">
        <v>38</v>
      </c>
      <c r="U166" s="11">
        <f t="shared" si="19"/>
        <v>0.7876389212160001</v>
      </c>
      <c r="V166" t="s">
        <v>32</v>
      </c>
      <c r="Y166" t="s">
        <v>32</v>
      </c>
      <c r="Z166" t="s">
        <v>38</v>
      </c>
      <c r="AA166" s="11">
        <f t="shared" si="20"/>
        <v>0.7876389212160001</v>
      </c>
      <c r="AB166" t="s">
        <v>32</v>
      </c>
      <c r="AE166" t="s">
        <v>32</v>
      </c>
      <c r="AF166" t="s">
        <v>38</v>
      </c>
      <c r="AG166" s="11">
        <f t="shared" si="21"/>
        <v>0.7876389212160001</v>
      </c>
      <c r="AH166" t="s">
        <v>32</v>
      </c>
    </row>
    <row r="167" spans="1:34" x14ac:dyDescent="0.2">
      <c r="A167" t="s">
        <v>32</v>
      </c>
      <c r="B167" t="s">
        <v>69</v>
      </c>
      <c r="C167" s="11">
        <f>INDEX(PlasticsUse!$B$94:$L$111,MATCH(dataforsankey!$A167,PlasticsUse!$A$94:$A$108,0),MATCH(dataforsankey!$B167,PlasticsUse!$B$93:$L$93,0))</f>
        <v>1.0042799515704555</v>
      </c>
      <c r="G167" t="str">
        <f t="shared" si="22"/>
        <v>Polycarbonate</v>
      </c>
      <c r="H167" t="str">
        <f t="shared" si="23"/>
        <v>Transportation</v>
      </c>
      <c r="I167">
        <f t="shared" si="24"/>
        <v>1.0042799515704555</v>
      </c>
      <c r="J167" t="str">
        <f t="shared" si="25"/>
        <v>Polycarbonate</v>
      </c>
      <c r="M167" t="s">
        <v>891</v>
      </c>
      <c r="N167" t="s">
        <v>99</v>
      </c>
      <c r="O167" s="11">
        <f>_xlfn.IFNA(INDEX('Imports - Products'!$B$24:$G$40,MATCH(dataforsankey!$P167,'Imports - Products'!$A$24:$A$40,0),MATCH(dataforsankey!$N167,'Imports - Products'!$B$23:$G$23,0)),0)*10^-6</f>
        <v>0</v>
      </c>
      <c r="P167" t="s">
        <v>32</v>
      </c>
      <c r="S167" t="s">
        <v>32</v>
      </c>
      <c r="T167" t="s">
        <v>99</v>
      </c>
      <c r="U167" s="11">
        <f t="shared" si="19"/>
        <v>0</v>
      </c>
      <c r="V167" t="s">
        <v>32</v>
      </c>
      <c r="Y167" t="s">
        <v>32</v>
      </c>
      <c r="Z167" t="s">
        <v>99</v>
      </c>
      <c r="AA167" s="11">
        <f t="shared" si="20"/>
        <v>0</v>
      </c>
      <c r="AB167" t="s">
        <v>32</v>
      </c>
      <c r="AE167" t="s">
        <v>32</v>
      </c>
      <c r="AF167" t="s">
        <v>99</v>
      </c>
      <c r="AG167" s="11">
        <f t="shared" si="21"/>
        <v>0</v>
      </c>
      <c r="AH167" t="s">
        <v>32</v>
      </c>
    </row>
    <row r="168" spans="1:34" x14ac:dyDescent="0.2">
      <c r="A168" t="s">
        <v>32</v>
      </c>
      <c r="B168" t="s">
        <v>100</v>
      </c>
      <c r="C168" s="11">
        <f>INDEX(PlasticsUse!$B$94:$L$111,MATCH(dataforsankey!$A168,PlasticsUse!$A$94:$A$108,0),MATCH(dataforsankey!$B168,PlasticsUse!$B$93:$L$93,0))</f>
        <v>0</v>
      </c>
      <c r="G168" t="str">
        <f t="shared" si="22"/>
        <v>Polycarbonate</v>
      </c>
      <c r="H168" t="str">
        <f t="shared" si="23"/>
        <v>Industrial/Machinery</v>
      </c>
      <c r="I168">
        <f t="shared" si="24"/>
        <v>0</v>
      </c>
      <c r="J168" t="str">
        <f t="shared" si="25"/>
        <v>Polycarbonate</v>
      </c>
      <c r="M168" t="s">
        <v>891</v>
      </c>
      <c r="N168" t="s">
        <v>69</v>
      </c>
      <c r="O168" s="11">
        <f>_xlfn.IFNA(INDEX('Imports - Products'!$B$24:$G$40,MATCH(dataforsankey!$P168,'Imports - Products'!$A$24:$A$40,0),MATCH(dataforsankey!$N168,'Imports - Products'!$B$23:$G$23,0)),0)*10^-6</f>
        <v>0.19752071849966238</v>
      </c>
      <c r="P168" t="s">
        <v>32</v>
      </c>
      <c r="S168" t="s">
        <v>32</v>
      </c>
      <c r="T168" t="s">
        <v>69</v>
      </c>
      <c r="U168" s="11">
        <f t="shared" si="19"/>
        <v>0.7876389212160001</v>
      </c>
      <c r="V168" t="s">
        <v>32</v>
      </c>
      <c r="Y168" t="s">
        <v>32</v>
      </c>
      <c r="Z168" t="s">
        <v>69</v>
      </c>
      <c r="AA168" s="11">
        <f t="shared" si="20"/>
        <v>0.7876389212160001</v>
      </c>
      <c r="AB168" t="s">
        <v>32</v>
      </c>
      <c r="AE168" t="s">
        <v>32</v>
      </c>
      <c r="AF168" t="s">
        <v>69</v>
      </c>
      <c r="AG168" s="11">
        <f t="shared" si="21"/>
        <v>0.7876389212160001</v>
      </c>
      <c r="AH168" t="s">
        <v>32</v>
      </c>
    </row>
    <row r="169" spans="1:34" x14ac:dyDescent="0.2">
      <c r="A169" t="s">
        <v>32</v>
      </c>
      <c r="B169" t="s">
        <v>39</v>
      </c>
      <c r="C169" s="11">
        <f>INDEX(PlasticsUse!$B$94:$L$111,MATCH(dataforsankey!$A169,PlasticsUse!$A$94:$A$108,0),MATCH(dataforsankey!$B169,PlasticsUse!$B$93:$L$93,0))</f>
        <v>0.24026952468106957</v>
      </c>
      <c r="G169" t="str">
        <f t="shared" si="22"/>
        <v>Polycarbonate</v>
      </c>
      <c r="H169" t="str">
        <f t="shared" si="23"/>
        <v>Packaging</v>
      </c>
      <c r="I169">
        <f t="shared" si="24"/>
        <v>0.24026952468106957</v>
      </c>
      <c r="J169" t="str">
        <f t="shared" si="25"/>
        <v>Polycarbonate</v>
      </c>
      <c r="M169" t="s">
        <v>891</v>
      </c>
      <c r="N169" t="s">
        <v>100</v>
      </c>
      <c r="O169" s="11">
        <f>_xlfn.IFNA(INDEX('Imports - Products'!$B$24:$G$40,MATCH(dataforsankey!$P169,'Imports - Products'!$A$24:$A$40,0),MATCH(dataforsankey!$N169,'Imports - Products'!$B$23:$G$23,0)),0)*10^-6</f>
        <v>0</v>
      </c>
      <c r="P169" t="s">
        <v>32</v>
      </c>
      <c r="S169" t="s">
        <v>32</v>
      </c>
      <c r="T169" t="s">
        <v>100</v>
      </c>
      <c r="U169" s="11">
        <f t="shared" si="19"/>
        <v>0</v>
      </c>
      <c r="V169" t="s">
        <v>32</v>
      </c>
      <c r="Y169" t="s">
        <v>32</v>
      </c>
      <c r="Z169" t="s">
        <v>100</v>
      </c>
      <c r="AA169" s="11">
        <f t="shared" si="20"/>
        <v>0</v>
      </c>
      <c r="AB169" t="s">
        <v>32</v>
      </c>
      <c r="AE169" t="s">
        <v>32</v>
      </c>
      <c r="AF169" t="s">
        <v>100</v>
      </c>
      <c r="AG169" s="11">
        <f t="shared" si="21"/>
        <v>0</v>
      </c>
      <c r="AH169" t="s">
        <v>32</v>
      </c>
    </row>
    <row r="170" spans="1:34" x14ac:dyDescent="0.2">
      <c r="A170" t="s">
        <v>32</v>
      </c>
      <c r="B170" t="s">
        <v>68</v>
      </c>
      <c r="C170" s="11">
        <f>INDEX(PlasticsUse!$B$94:$L$111,MATCH(dataforsankey!$A170,PlasticsUse!$A$94:$A$108,0),MATCH(dataforsankey!$B170,PlasticsUse!$B$93:$L$93,0))</f>
        <v>1.3237429496915281</v>
      </c>
      <c r="G170" t="str">
        <f t="shared" si="22"/>
        <v>Polycarbonate</v>
      </c>
      <c r="H170" t="str">
        <f t="shared" si="23"/>
        <v>Electrical/Electronic</v>
      </c>
      <c r="I170">
        <f t="shared" si="24"/>
        <v>1.3237429496915281</v>
      </c>
      <c r="J170" t="str">
        <f t="shared" si="25"/>
        <v>Polycarbonate</v>
      </c>
      <c r="M170" t="s">
        <v>891</v>
      </c>
      <c r="N170" t="s">
        <v>39</v>
      </c>
      <c r="O170" s="11">
        <f>_xlfn.IFNA(INDEX('Imports - Products'!$B$24:$G$40,MATCH(dataforsankey!$P170,'Imports - Products'!$A$24:$A$40,0),MATCH(dataforsankey!$N170,'Imports - Products'!$B$23:$G$23,0)),0)*10^-6</f>
        <v>3.8579716413371316E-2</v>
      </c>
      <c r="P170" t="s">
        <v>32</v>
      </c>
      <c r="S170" t="s">
        <v>32</v>
      </c>
      <c r="T170" t="s">
        <v>39</v>
      </c>
      <c r="U170" s="11">
        <f t="shared" si="19"/>
        <v>0.19690973030400002</v>
      </c>
      <c r="V170" t="s">
        <v>32</v>
      </c>
      <c r="Y170" t="s">
        <v>32</v>
      </c>
      <c r="Z170" t="s">
        <v>39</v>
      </c>
      <c r="AA170" s="11">
        <f t="shared" si="20"/>
        <v>0.19690973030400002</v>
      </c>
      <c r="AB170" t="s">
        <v>32</v>
      </c>
      <c r="AE170" t="s">
        <v>32</v>
      </c>
      <c r="AF170" t="s">
        <v>39</v>
      </c>
      <c r="AG170" s="11">
        <f t="shared" si="21"/>
        <v>0.19690973030400002</v>
      </c>
      <c r="AH170" t="s">
        <v>32</v>
      </c>
    </row>
    <row r="171" spans="1:34" x14ac:dyDescent="0.2">
      <c r="A171" t="s">
        <v>32</v>
      </c>
      <c r="B171" t="s">
        <v>91</v>
      </c>
      <c r="C171" s="11" t="e">
        <f>INDEX(PlasticsUse!$B$94:$L$111,MATCH(dataforsankey!$A171,PlasticsUse!$A$94:$A$108,0),MATCH(dataforsankey!$B171,PlasticsUse!$B$93:$L$93,0))</f>
        <v>#N/A</v>
      </c>
      <c r="G171" t="str">
        <f t="shared" si="22"/>
        <v>Polycarbonate</v>
      </c>
      <c r="H171" t="str">
        <f t="shared" si="23"/>
        <v>Consumer and Insitutional</v>
      </c>
      <c r="I171" t="e">
        <f t="shared" si="24"/>
        <v>#N/A</v>
      </c>
      <c r="J171" t="str">
        <f t="shared" si="25"/>
        <v>Polycarbonate</v>
      </c>
      <c r="M171" t="s">
        <v>891</v>
      </c>
      <c r="N171" t="s">
        <v>68</v>
      </c>
      <c r="O171" s="11">
        <f>_xlfn.IFNA(INDEX('Imports - Products'!$B$24:$G$40,MATCH(dataforsankey!$P171,'Imports - Products'!$A$24:$A$40,0),MATCH(dataforsankey!$N171,'Imports - Products'!$B$23:$G$23,0)),0)*10^-6</f>
        <v>0.31529390835303689</v>
      </c>
      <c r="P171" t="s">
        <v>32</v>
      </c>
      <c r="S171" t="s">
        <v>32</v>
      </c>
      <c r="T171" t="s">
        <v>68</v>
      </c>
      <c r="U171" s="11">
        <f t="shared" si="19"/>
        <v>0.98454865152000004</v>
      </c>
      <c r="V171" t="s">
        <v>32</v>
      </c>
      <c r="Y171" t="s">
        <v>32</v>
      </c>
      <c r="Z171" t="s">
        <v>68</v>
      </c>
      <c r="AA171" s="11">
        <f t="shared" si="20"/>
        <v>0.98454865152000004</v>
      </c>
      <c r="AB171" t="s">
        <v>32</v>
      </c>
      <c r="AE171" t="s">
        <v>32</v>
      </c>
      <c r="AF171" t="s">
        <v>68</v>
      </c>
      <c r="AG171" s="11">
        <f t="shared" si="21"/>
        <v>0.98454865152000004</v>
      </c>
      <c r="AH171" t="s">
        <v>32</v>
      </c>
    </row>
    <row r="172" spans="1:34" x14ac:dyDescent="0.2">
      <c r="A172" t="s">
        <v>32</v>
      </c>
      <c r="B172" t="s">
        <v>92</v>
      </c>
      <c r="C172" s="11">
        <f>INDEX(PlasticsUse!$B$94:$L$111,MATCH(dataforsankey!$A172,PlasticsUse!$A$94:$A$108,0),MATCH(dataforsankey!$B172,PlasticsUse!$B$93:$L$93,0))</f>
        <v>0</v>
      </c>
      <c r="G172" t="str">
        <f t="shared" si="22"/>
        <v>Polycarbonate</v>
      </c>
      <c r="H172" t="str">
        <f t="shared" si="23"/>
        <v>Adhesives/Inks/Coatings</v>
      </c>
      <c r="I172">
        <f t="shared" si="24"/>
        <v>0</v>
      </c>
      <c r="J172" t="str">
        <f t="shared" si="25"/>
        <v>Polycarbonate</v>
      </c>
      <c r="M172" t="s">
        <v>891</v>
      </c>
      <c r="N172" t="s">
        <v>63</v>
      </c>
      <c r="O172" s="11">
        <f>_xlfn.IFNA(INDEX('Imports - Products'!$B$24:$G$40,MATCH(dataforsankey!$P172,'Imports - Products'!$A$24:$A$40,0),MATCH(dataforsankey!$N172,'Imports - Products'!$B$23:$G$23,0)),0)*10^-6</f>
        <v>2.3660324087977396E-2</v>
      </c>
      <c r="P172" t="s">
        <v>32</v>
      </c>
      <c r="S172" t="s">
        <v>32</v>
      </c>
      <c r="T172" t="s">
        <v>63</v>
      </c>
      <c r="U172" s="11">
        <f t="shared" si="19"/>
        <v>0.19690973030400002</v>
      </c>
      <c r="V172" t="s">
        <v>32</v>
      </c>
      <c r="Y172" t="s">
        <v>32</v>
      </c>
      <c r="Z172" t="s">
        <v>63</v>
      </c>
      <c r="AA172" s="11">
        <f t="shared" si="20"/>
        <v>0.19690973030400002</v>
      </c>
      <c r="AB172" t="s">
        <v>32</v>
      </c>
      <c r="AE172" t="s">
        <v>32</v>
      </c>
      <c r="AF172" t="s">
        <v>63</v>
      </c>
      <c r="AG172" s="11">
        <f t="shared" si="21"/>
        <v>0.19690973030400002</v>
      </c>
      <c r="AH172" t="s">
        <v>32</v>
      </c>
    </row>
    <row r="173" spans="1:34" x14ac:dyDescent="0.2">
      <c r="A173" t="s">
        <v>32</v>
      </c>
      <c r="B173" t="s">
        <v>103</v>
      </c>
      <c r="C173" s="11">
        <f>INDEX(PlasticsUse!$B$94:$L$111,MATCH(dataforsankey!$A173,PlasticsUse!$A$94:$A$108,0),MATCH(dataforsankey!$B173,PlasticsUse!$B$93:$L$93,0))</f>
        <v>0</v>
      </c>
      <c r="G173" t="str">
        <f t="shared" si="22"/>
        <v>Polycarbonate</v>
      </c>
      <c r="H173" t="str">
        <f t="shared" si="23"/>
        <v>Textiles, Fibers and Apparel</v>
      </c>
      <c r="I173">
        <f t="shared" si="24"/>
        <v>0</v>
      </c>
      <c r="J173" t="str">
        <f t="shared" si="25"/>
        <v>Polycarbonate</v>
      </c>
      <c r="M173" t="s">
        <v>891</v>
      </c>
      <c r="N173" t="s">
        <v>92</v>
      </c>
      <c r="O173" s="11">
        <f>_xlfn.IFNA(INDEX('Imports - Products'!$B$24:$G$40,MATCH(dataforsankey!$P173,'Imports - Products'!$A$24:$A$40,0),MATCH(dataforsankey!$N173,'Imports - Products'!$B$23:$G$23,0)),0)*10^-6</f>
        <v>0</v>
      </c>
      <c r="P173" t="s">
        <v>32</v>
      </c>
      <c r="S173" t="s">
        <v>32</v>
      </c>
      <c r="T173" t="s">
        <v>92</v>
      </c>
      <c r="U173" s="11">
        <f t="shared" si="19"/>
        <v>0</v>
      </c>
      <c r="V173" t="s">
        <v>32</v>
      </c>
      <c r="Y173" t="s">
        <v>32</v>
      </c>
      <c r="Z173" t="s">
        <v>92</v>
      </c>
      <c r="AA173" s="11">
        <f t="shared" si="20"/>
        <v>0</v>
      </c>
      <c r="AB173" t="s">
        <v>32</v>
      </c>
      <c r="AE173" t="s">
        <v>32</v>
      </c>
      <c r="AF173" t="s">
        <v>92</v>
      </c>
      <c r="AG173" s="11">
        <f t="shared" si="21"/>
        <v>0</v>
      </c>
      <c r="AH173" t="s">
        <v>32</v>
      </c>
    </row>
    <row r="174" spans="1:34" x14ac:dyDescent="0.2">
      <c r="A174" t="s">
        <v>32</v>
      </c>
      <c r="B174" t="s">
        <v>86</v>
      </c>
      <c r="C174" s="11">
        <f>INDEX(PlasticsUse!$B$94:$L$111,MATCH(dataforsankey!$A174,PlasticsUse!$A$94:$A$108,0),MATCH(dataforsankey!$B174,PlasticsUse!$B$93:$L$93,0))</f>
        <v>1.0084490413384912</v>
      </c>
      <c r="G174" t="str">
        <f t="shared" si="22"/>
        <v>Polycarbonate</v>
      </c>
      <c r="H174" t="str">
        <f t="shared" si="23"/>
        <v>Other End Use Markets</v>
      </c>
      <c r="I174">
        <f t="shared" si="24"/>
        <v>1.0084490413384912</v>
      </c>
      <c r="J174" t="str">
        <f t="shared" si="25"/>
        <v>Polycarbonate</v>
      </c>
      <c r="M174" t="s">
        <v>891</v>
      </c>
      <c r="N174" t="s">
        <v>103</v>
      </c>
      <c r="O174" s="11">
        <f>_xlfn.IFNA(INDEX('Imports - Products'!$B$24:$G$40,MATCH(dataforsankey!$P174,'Imports - Products'!$A$24:$A$40,0),MATCH(dataforsankey!$N174,'Imports - Products'!$B$23:$G$23,0)),0)*10^-6</f>
        <v>0</v>
      </c>
      <c r="P174" t="s">
        <v>32</v>
      </c>
      <c r="S174" t="s">
        <v>32</v>
      </c>
      <c r="T174" t="s">
        <v>103</v>
      </c>
      <c r="U174" s="11">
        <f t="shared" si="19"/>
        <v>0</v>
      </c>
      <c r="V174" t="s">
        <v>32</v>
      </c>
      <c r="Y174" t="s">
        <v>32</v>
      </c>
      <c r="Z174" t="s">
        <v>103</v>
      </c>
      <c r="AA174" s="11">
        <f t="shared" si="20"/>
        <v>0</v>
      </c>
      <c r="AB174" t="s">
        <v>32</v>
      </c>
      <c r="AE174" t="s">
        <v>32</v>
      </c>
      <c r="AF174" t="s">
        <v>103</v>
      </c>
      <c r="AG174" s="11">
        <f t="shared" si="21"/>
        <v>0</v>
      </c>
      <c r="AH174" t="s">
        <v>32</v>
      </c>
    </row>
    <row r="175" spans="1:34" x14ac:dyDescent="0.2">
      <c r="A175" t="s">
        <v>32</v>
      </c>
      <c r="B175" t="s">
        <v>18</v>
      </c>
      <c r="C175" s="11">
        <f>INDEX(PlasticsUse!$B$94:$L$111,MATCH(dataforsankey!$A175,PlasticsUse!$A$94:$A$108,0),MATCH(dataforsankey!$B175,PlasticsUse!$B$93:$L$93,0))</f>
        <v>0</v>
      </c>
      <c r="G175" t="str">
        <f t="shared" si="22"/>
        <v>Polycarbonate</v>
      </c>
      <c r="H175" t="str">
        <f t="shared" si="23"/>
        <v>Exports</v>
      </c>
      <c r="I175">
        <f t="shared" si="24"/>
        <v>0</v>
      </c>
      <c r="J175" t="str">
        <f t="shared" si="25"/>
        <v>Polycarbonate</v>
      </c>
      <c r="M175" t="s">
        <v>891</v>
      </c>
      <c r="N175" t="s">
        <v>86</v>
      </c>
      <c r="O175" s="11">
        <f>_xlfn.IFNA(INDEX('Imports - Products'!$B$24:$G$40,MATCH(dataforsankey!$P175,'Imports - Products'!$A$24:$A$40,0),MATCH(dataforsankey!$N175,'Imports - Products'!$B$23:$G$23,0)),0)*10^-6</f>
        <v>0</v>
      </c>
      <c r="P175" t="s">
        <v>32</v>
      </c>
      <c r="S175" t="s">
        <v>32</v>
      </c>
      <c r="T175" t="s">
        <v>86</v>
      </c>
      <c r="U175" s="11">
        <f t="shared" si="19"/>
        <v>0.98454865152000004</v>
      </c>
      <c r="V175" t="s">
        <v>32</v>
      </c>
      <c r="Y175" t="s">
        <v>32</v>
      </c>
      <c r="Z175" t="s">
        <v>86</v>
      </c>
      <c r="AA175" s="11">
        <f t="shared" si="20"/>
        <v>0.98454865152000004</v>
      </c>
      <c r="AB175" t="s">
        <v>32</v>
      </c>
      <c r="AE175" t="s">
        <v>32</v>
      </c>
      <c r="AF175" t="s">
        <v>86</v>
      </c>
      <c r="AG175" s="11">
        <f t="shared" si="21"/>
        <v>0.98454865152000004</v>
      </c>
      <c r="AH175" t="s">
        <v>32</v>
      </c>
    </row>
    <row r="176" spans="1:34" x14ac:dyDescent="0.2">
      <c r="A176" t="s">
        <v>105</v>
      </c>
      <c r="B176" t="s">
        <v>38</v>
      </c>
      <c r="C176" s="11">
        <f>INDEX(PlasticsUse!$B$94:$L$111,MATCH(dataforsankey!$A176,PlasticsUse!$A$94:$A$108,0),MATCH(dataforsankey!$B176,PlasticsUse!$B$93:$L$93,0))</f>
        <v>0</v>
      </c>
      <c r="G176" t="str">
        <f t="shared" si="22"/>
        <v>Styrene butadiene rubber</v>
      </c>
      <c r="H176" t="str">
        <f t="shared" si="23"/>
        <v>Building and Construction</v>
      </c>
      <c r="I176">
        <f t="shared" si="24"/>
        <v>0</v>
      </c>
      <c r="J176" t="str">
        <f t="shared" si="25"/>
        <v>Styrene butadiene rubber</v>
      </c>
      <c r="M176" t="s">
        <v>891</v>
      </c>
      <c r="N176" t="s">
        <v>18</v>
      </c>
      <c r="O176" s="11">
        <f>_xlfn.IFNA(INDEX('Imports - Products'!$B$24:$G$40,MATCH(dataforsankey!$P176,'Imports - Products'!$A$24:$A$40,0),MATCH(dataforsankey!$N176,'Imports - Products'!$B$23:$G$23,0)),0)*10^-6</f>
        <v>0</v>
      </c>
      <c r="P176" t="s">
        <v>32</v>
      </c>
      <c r="S176" t="s">
        <v>32</v>
      </c>
      <c r="T176" t="s">
        <v>18</v>
      </c>
      <c r="U176" s="11">
        <f t="shared" si="19"/>
        <v>0</v>
      </c>
      <c r="V176" t="s">
        <v>32</v>
      </c>
      <c r="Y176" t="s">
        <v>32</v>
      </c>
      <c r="Z176" t="s">
        <v>18</v>
      </c>
      <c r="AA176" s="11">
        <f t="shared" si="20"/>
        <v>0</v>
      </c>
      <c r="AB176" t="s">
        <v>32</v>
      </c>
      <c r="AE176" t="s">
        <v>32</v>
      </c>
      <c r="AF176" t="s">
        <v>18</v>
      </c>
      <c r="AG176" s="11">
        <f t="shared" si="21"/>
        <v>0</v>
      </c>
      <c r="AH176" t="s">
        <v>32</v>
      </c>
    </row>
    <row r="177" spans="1:35" x14ac:dyDescent="0.2">
      <c r="A177" t="s">
        <v>105</v>
      </c>
      <c r="B177" t="s">
        <v>99</v>
      </c>
      <c r="C177" s="11">
        <f>INDEX(PlasticsUse!$B$94:$L$111,MATCH(dataforsankey!$A177,PlasticsUse!$A$94:$A$108,0),MATCH(dataforsankey!$B177,PlasticsUse!$B$93:$L$93,0))</f>
        <v>0</v>
      </c>
      <c r="G177" t="str">
        <f t="shared" si="22"/>
        <v>Styrene butadiene rubber</v>
      </c>
      <c r="H177" t="str">
        <f t="shared" si="23"/>
        <v>Furniture and Furnishings</v>
      </c>
      <c r="I177">
        <f t="shared" si="24"/>
        <v>0</v>
      </c>
      <c r="J177" t="str">
        <f t="shared" si="25"/>
        <v>Styrene butadiene rubber</v>
      </c>
      <c r="M177" t="s">
        <v>891</v>
      </c>
      <c r="N177" t="s">
        <v>38</v>
      </c>
      <c r="O177" s="11">
        <f>_xlfn.IFNA(INDEX('Imports - Products'!$B$24:$G$40,MATCH(dataforsankey!$P177,'Imports - Products'!$A$24:$A$40,0),MATCH(dataforsankey!$N177,'Imports - Products'!$B$23:$G$23,0)),0)*10^-6</f>
        <v>0</v>
      </c>
      <c r="P177" t="s">
        <v>105</v>
      </c>
      <c r="S177" t="s">
        <v>105</v>
      </c>
      <c r="T177" t="s">
        <v>38</v>
      </c>
      <c r="U177" s="11">
        <f t="shared" si="19"/>
        <v>0</v>
      </c>
      <c r="V177" t="s">
        <v>105</v>
      </c>
      <c r="Y177" t="s">
        <v>105</v>
      </c>
      <c r="Z177" t="s">
        <v>38</v>
      </c>
      <c r="AA177" s="11">
        <f t="shared" si="20"/>
        <v>0</v>
      </c>
      <c r="AB177" t="s">
        <v>105</v>
      </c>
      <c r="AE177" t="s">
        <v>105</v>
      </c>
      <c r="AF177" t="s">
        <v>38</v>
      </c>
      <c r="AG177" s="11">
        <f t="shared" si="21"/>
        <v>0</v>
      </c>
      <c r="AH177" t="s">
        <v>105</v>
      </c>
    </row>
    <row r="178" spans="1:35" x14ac:dyDescent="0.2">
      <c r="A178" t="s">
        <v>105</v>
      </c>
      <c r="B178" t="s">
        <v>69</v>
      </c>
      <c r="C178" s="11">
        <f>INDEX(PlasticsUse!$B$94:$L$111,MATCH(dataforsankey!$A178,PlasticsUse!$A$94:$A$108,0),MATCH(dataforsankey!$B178,PlasticsUse!$B$93:$L$93,0))</f>
        <v>0.89296721287660641</v>
      </c>
      <c r="G178" t="str">
        <f t="shared" si="22"/>
        <v>Styrene butadiene rubber</v>
      </c>
      <c r="H178" t="str">
        <f t="shared" si="23"/>
        <v>Transportation</v>
      </c>
      <c r="I178">
        <f t="shared" si="24"/>
        <v>0.89296721287660641</v>
      </c>
      <c r="J178" t="str">
        <f t="shared" si="25"/>
        <v>Styrene butadiene rubber</v>
      </c>
      <c r="M178" t="s">
        <v>891</v>
      </c>
      <c r="N178" t="s">
        <v>99</v>
      </c>
      <c r="O178" s="11">
        <f>_xlfn.IFNA(INDEX('Imports - Products'!$B$24:$G$40,MATCH(dataforsankey!$P178,'Imports - Products'!$A$24:$A$40,0),MATCH(dataforsankey!$N178,'Imports - Products'!$B$23:$G$23,0)),0)*10^-6</f>
        <v>0</v>
      </c>
      <c r="P178" t="s">
        <v>105</v>
      </c>
      <c r="S178" t="s">
        <v>105</v>
      </c>
      <c r="T178" t="s">
        <v>99</v>
      </c>
      <c r="U178" s="11">
        <f t="shared" si="19"/>
        <v>0</v>
      </c>
      <c r="V178" t="s">
        <v>105</v>
      </c>
      <c r="Y178" t="s">
        <v>105</v>
      </c>
      <c r="Z178" t="s">
        <v>99</v>
      </c>
      <c r="AA178" s="11">
        <f t="shared" si="20"/>
        <v>0</v>
      </c>
      <c r="AB178" t="s">
        <v>105</v>
      </c>
      <c r="AE178" t="s">
        <v>105</v>
      </c>
      <c r="AF178" t="s">
        <v>99</v>
      </c>
      <c r="AG178" s="11">
        <f t="shared" si="21"/>
        <v>0</v>
      </c>
      <c r="AH178" t="s">
        <v>105</v>
      </c>
    </row>
    <row r="179" spans="1:35" x14ac:dyDescent="0.2">
      <c r="A179" t="s">
        <v>105</v>
      </c>
      <c r="B179" t="s">
        <v>100</v>
      </c>
      <c r="C179" s="11">
        <f>INDEX(PlasticsUse!$B$94:$L$111,MATCH(dataforsankey!$A179,PlasticsUse!$A$94:$A$108,0),MATCH(dataforsankey!$B179,PlasticsUse!$B$93:$L$93,0))</f>
        <v>0</v>
      </c>
      <c r="G179" t="str">
        <f t="shared" si="22"/>
        <v>Styrene butadiene rubber</v>
      </c>
      <c r="H179" t="str">
        <f t="shared" si="23"/>
        <v>Industrial/Machinery</v>
      </c>
      <c r="I179">
        <f t="shared" si="24"/>
        <v>0</v>
      </c>
      <c r="J179" t="str">
        <f t="shared" si="25"/>
        <v>Styrene butadiene rubber</v>
      </c>
      <c r="M179" t="s">
        <v>891</v>
      </c>
      <c r="N179" t="s">
        <v>69</v>
      </c>
      <c r="O179" s="11">
        <f>_xlfn.IFNA(INDEX('Imports - Products'!$B$24:$G$40,MATCH(dataforsankey!$P179,'Imports - Products'!$A$24:$A$40,0),MATCH(dataforsankey!$N179,'Imports - Products'!$B$23:$G$23,0)),0)*10^-6</f>
        <v>0.17562784680527832</v>
      </c>
      <c r="P179" t="s">
        <v>105</v>
      </c>
      <c r="S179" t="s">
        <v>105</v>
      </c>
      <c r="T179" t="s">
        <v>69</v>
      </c>
      <c r="U179" s="11">
        <f t="shared" si="19"/>
        <v>0.71733936607132809</v>
      </c>
      <c r="V179" t="s">
        <v>105</v>
      </c>
      <c r="Y179" t="s">
        <v>105</v>
      </c>
      <c r="Z179" t="s">
        <v>69</v>
      </c>
      <c r="AA179" s="11">
        <f t="shared" si="20"/>
        <v>0.71733936607132809</v>
      </c>
      <c r="AB179" t="s">
        <v>105</v>
      </c>
      <c r="AE179" t="s">
        <v>105</v>
      </c>
      <c r="AF179" t="s">
        <v>69</v>
      </c>
      <c r="AG179" s="11">
        <f t="shared" si="21"/>
        <v>0.71733936607132809</v>
      </c>
      <c r="AH179" t="s">
        <v>105</v>
      </c>
    </row>
    <row r="180" spans="1:35" x14ac:dyDescent="0.2">
      <c r="A180" t="s">
        <v>105</v>
      </c>
      <c r="B180" t="s">
        <v>39</v>
      </c>
      <c r="C180" s="11">
        <f>INDEX(PlasticsUse!$B$94:$L$111,MATCH(dataforsankey!$A180,PlasticsUse!$A$94:$A$108,0),MATCH(dataforsankey!$B180,PlasticsUse!$B$93:$L$93,0))</f>
        <v>0</v>
      </c>
      <c r="G180" t="str">
        <f t="shared" si="22"/>
        <v>Styrene butadiene rubber</v>
      </c>
      <c r="H180" t="str">
        <f t="shared" si="23"/>
        <v>Packaging</v>
      </c>
      <c r="I180">
        <f t="shared" si="24"/>
        <v>0</v>
      </c>
      <c r="J180" t="str">
        <f t="shared" si="25"/>
        <v>Styrene butadiene rubber</v>
      </c>
      <c r="M180" t="s">
        <v>891</v>
      </c>
      <c r="N180" t="s">
        <v>100</v>
      </c>
      <c r="O180" s="11">
        <f>_xlfn.IFNA(INDEX('Imports - Products'!$B$24:$G$40,MATCH(dataforsankey!$P180,'Imports - Products'!$A$24:$A$40,0),MATCH(dataforsankey!$N180,'Imports - Products'!$B$23:$G$23,0)),0)*10^-6</f>
        <v>0</v>
      </c>
      <c r="P180" t="s">
        <v>105</v>
      </c>
      <c r="S180" t="s">
        <v>105</v>
      </c>
      <c r="T180" t="s">
        <v>100</v>
      </c>
      <c r="U180" s="11">
        <f t="shared" si="19"/>
        <v>0</v>
      </c>
      <c r="V180" t="s">
        <v>105</v>
      </c>
      <c r="Y180" t="s">
        <v>105</v>
      </c>
      <c r="Z180" t="s">
        <v>100</v>
      </c>
      <c r="AA180" s="11">
        <f t="shared" si="20"/>
        <v>0</v>
      </c>
      <c r="AB180" t="s">
        <v>105</v>
      </c>
      <c r="AE180" t="s">
        <v>105</v>
      </c>
      <c r="AF180" t="s">
        <v>100</v>
      </c>
      <c r="AG180" s="11">
        <f t="shared" si="21"/>
        <v>0</v>
      </c>
      <c r="AH180" t="s">
        <v>105</v>
      </c>
    </row>
    <row r="181" spans="1:35" x14ac:dyDescent="0.2">
      <c r="A181" t="s">
        <v>105</v>
      </c>
      <c r="B181" t="s">
        <v>68</v>
      </c>
      <c r="C181" s="11">
        <f>INDEX(PlasticsUse!$B$94:$L$111,MATCH(dataforsankey!$A181,PlasticsUse!$A$94:$A$108,0),MATCH(dataforsankey!$B181,PlasticsUse!$B$93:$L$93,0))</f>
        <v>0</v>
      </c>
      <c r="G181" t="str">
        <f t="shared" si="22"/>
        <v>Styrene butadiene rubber</v>
      </c>
      <c r="H181" t="str">
        <f t="shared" si="23"/>
        <v>Electrical/Electronic</v>
      </c>
      <c r="I181">
        <f t="shared" si="24"/>
        <v>0</v>
      </c>
      <c r="J181" t="str">
        <f t="shared" si="25"/>
        <v>Styrene butadiene rubber</v>
      </c>
      <c r="M181" t="s">
        <v>891</v>
      </c>
      <c r="N181" t="s">
        <v>39</v>
      </c>
      <c r="O181" s="11">
        <f>_xlfn.IFNA(INDEX('Imports - Products'!$B$24:$G$40,MATCH(dataforsankey!$P181,'Imports - Products'!$A$24:$A$40,0),MATCH(dataforsankey!$N181,'Imports - Products'!$B$23:$G$23,0)),0)*10^-6</f>
        <v>0</v>
      </c>
      <c r="P181" t="s">
        <v>105</v>
      </c>
      <c r="S181" t="s">
        <v>105</v>
      </c>
      <c r="T181" t="s">
        <v>39</v>
      </c>
      <c r="U181" s="11">
        <f t="shared" si="19"/>
        <v>0</v>
      </c>
      <c r="V181" t="s">
        <v>105</v>
      </c>
      <c r="Y181" t="s">
        <v>105</v>
      </c>
      <c r="Z181" t="s">
        <v>39</v>
      </c>
      <c r="AA181" s="11">
        <f t="shared" si="20"/>
        <v>0</v>
      </c>
      <c r="AB181" t="s">
        <v>105</v>
      </c>
      <c r="AE181" t="s">
        <v>105</v>
      </c>
      <c r="AF181" t="s">
        <v>39</v>
      </c>
      <c r="AG181" s="11">
        <f t="shared" si="21"/>
        <v>0</v>
      </c>
      <c r="AH181" t="s">
        <v>105</v>
      </c>
    </row>
    <row r="182" spans="1:35" x14ac:dyDescent="0.2">
      <c r="A182" t="s">
        <v>105</v>
      </c>
      <c r="B182" t="s">
        <v>91</v>
      </c>
      <c r="C182" s="11" t="e">
        <f>INDEX(PlasticsUse!$B$94:$L$111,MATCH(dataforsankey!$A182,PlasticsUse!$A$94:$A$108,0),MATCH(dataforsankey!$B182,PlasticsUse!$B$93:$L$93,0))</f>
        <v>#N/A</v>
      </c>
      <c r="G182" t="str">
        <f t="shared" si="22"/>
        <v>Styrene butadiene rubber</v>
      </c>
      <c r="H182" t="str">
        <f t="shared" si="23"/>
        <v>Consumer and Insitutional</v>
      </c>
      <c r="I182" t="e">
        <f t="shared" si="24"/>
        <v>#N/A</v>
      </c>
      <c r="J182" t="str">
        <f t="shared" si="25"/>
        <v>Styrene butadiene rubber</v>
      </c>
      <c r="M182" t="s">
        <v>891</v>
      </c>
      <c r="N182" t="s">
        <v>68</v>
      </c>
      <c r="O182" s="11">
        <f>_xlfn.IFNA(INDEX('Imports - Products'!$B$24:$G$40,MATCH(dataforsankey!$P182,'Imports - Products'!$A$24:$A$40,0),MATCH(dataforsankey!$N182,'Imports - Products'!$B$23:$G$23,0)),0)*10^-6</f>
        <v>0</v>
      </c>
      <c r="P182" t="s">
        <v>105</v>
      </c>
      <c r="S182" t="s">
        <v>105</v>
      </c>
      <c r="T182" t="s">
        <v>68</v>
      </c>
      <c r="U182" s="11">
        <f t="shared" si="19"/>
        <v>0</v>
      </c>
      <c r="V182" t="s">
        <v>105</v>
      </c>
      <c r="Y182" t="s">
        <v>105</v>
      </c>
      <c r="Z182" t="s">
        <v>68</v>
      </c>
      <c r="AA182" s="11">
        <f t="shared" si="20"/>
        <v>0</v>
      </c>
      <c r="AB182" t="s">
        <v>105</v>
      </c>
      <c r="AE182" t="s">
        <v>105</v>
      </c>
      <c r="AF182" t="s">
        <v>68</v>
      </c>
      <c r="AG182" s="11">
        <f t="shared" si="21"/>
        <v>0</v>
      </c>
      <c r="AH182" t="s">
        <v>105</v>
      </c>
    </row>
    <row r="183" spans="1:35" x14ac:dyDescent="0.2">
      <c r="A183" t="s">
        <v>105</v>
      </c>
      <c r="B183" t="s">
        <v>92</v>
      </c>
      <c r="C183" s="11">
        <f>INDEX(PlasticsUse!$B$94:$L$111,MATCH(dataforsankey!$A183,PlasticsUse!$A$94:$A$108,0),MATCH(dataforsankey!$B183,PlasticsUse!$B$93:$L$93,0))</f>
        <v>6.229994494416001E-2</v>
      </c>
      <c r="G183" t="str">
        <f t="shared" si="22"/>
        <v>Styrene butadiene rubber</v>
      </c>
      <c r="H183" t="str">
        <f t="shared" si="23"/>
        <v>Adhesives/Inks/Coatings</v>
      </c>
      <c r="I183">
        <f t="shared" si="24"/>
        <v>6.229994494416001E-2</v>
      </c>
      <c r="J183" t="str">
        <f t="shared" si="25"/>
        <v>Styrene butadiene rubber</v>
      </c>
      <c r="M183" t="s">
        <v>891</v>
      </c>
      <c r="N183" t="s">
        <v>63</v>
      </c>
      <c r="O183" s="11">
        <f>_xlfn.IFNA(INDEX('Imports - Products'!$B$24:$G$40,MATCH(dataforsankey!$P183,'Imports - Products'!$A$24:$A$40,0),MATCH(dataforsankey!$N183,'Imports - Products'!$B$23:$G$23,0)),0)*10^-6</f>
        <v>0</v>
      </c>
      <c r="P183" t="s">
        <v>105</v>
      </c>
      <c r="S183" t="s">
        <v>105</v>
      </c>
      <c r="T183" t="s">
        <v>63</v>
      </c>
      <c r="U183" s="11">
        <f t="shared" si="19"/>
        <v>0</v>
      </c>
      <c r="V183" t="s">
        <v>105</v>
      </c>
      <c r="Y183" t="s">
        <v>105</v>
      </c>
      <c r="Z183" t="s">
        <v>63</v>
      </c>
      <c r="AA183" s="11">
        <f t="shared" ref="AA183:AA214" si="26">SUMIFS($O$23:$O$953,$M$23:$M$953,Y183,$N$23:$N$953,Z183,$P$23:$P$953,AB183)</f>
        <v>0</v>
      </c>
      <c r="AB183" t="s">
        <v>105</v>
      </c>
      <c r="AE183" t="s">
        <v>105</v>
      </c>
      <c r="AF183" t="s">
        <v>63</v>
      </c>
      <c r="AG183" s="11">
        <f t="shared" ref="AG183:AG214" si="27">SUMIFS($O$23:$O$953,$M$23:$M$953,AE183,$N$23:$N$953,AF183,$P$23:$P$953,AH183)</f>
        <v>0</v>
      </c>
      <c r="AH183" t="s">
        <v>105</v>
      </c>
    </row>
    <row r="184" spans="1:35" x14ac:dyDescent="0.2">
      <c r="A184" t="s">
        <v>105</v>
      </c>
      <c r="B184" t="s">
        <v>103</v>
      </c>
      <c r="C184" s="11">
        <f>INDEX(PlasticsUse!$B$94:$L$111,MATCH(dataforsankey!$A184,PlasticsUse!$A$94:$A$108,0),MATCH(dataforsankey!$B184,PlasticsUse!$B$93:$L$93,0))</f>
        <v>0.12393947789046057</v>
      </c>
      <c r="G184" t="str">
        <f t="shared" si="22"/>
        <v>Styrene butadiene rubber</v>
      </c>
      <c r="H184" t="str">
        <f t="shared" si="23"/>
        <v>Textiles, Fibers and Apparel</v>
      </c>
      <c r="I184">
        <f t="shared" si="24"/>
        <v>0.12393947789046057</v>
      </c>
      <c r="J184" t="str">
        <f t="shared" si="25"/>
        <v>Styrene butadiene rubber</v>
      </c>
      <c r="M184" t="s">
        <v>891</v>
      </c>
      <c r="N184" t="s">
        <v>92</v>
      </c>
      <c r="O184" s="11">
        <f>_xlfn.IFNA(INDEX('Imports - Products'!$B$24:$G$40,MATCH(dataforsankey!$P184,'Imports - Products'!$A$24:$A$40,0),MATCH(dataforsankey!$N184,'Imports - Products'!$B$23:$G$23,0)),0)*10^-6</f>
        <v>0</v>
      </c>
      <c r="P184" t="s">
        <v>105</v>
      </c>
      <c r="S184" t="s">
        <v>105</v>
      </c>
      <c r="T184" t="s">
        <v>92</v>
      </c>
      <c r="U184" s="11">
        <f t="shared" si="19"/>
        <v>6.2299944944160003E-2</v>
      </c>
      <c r="V184" t="s">
        <v>105</v>
      </c>
      <c r="Y184" t="s">
        <v>105</v>
      </c>
      <c r="Z184" t="s">
        <v>92</v>
      </c>
      <c r="AA184" s="11">
        <f t="shared" si="26"/>
        <v>6.2299944944160003E-2</v>
      </c>
      <c r="AB184" t="s">
        <v>105</v>
      </c>
      <c r="AE184" t="s">
        <v>105</v>
      </c>
      <c r="AF184" t="s">
        <v>92</v>
      </c>
      <c r="AG184" s="11">
        <f t="shared" si="27"/>
        <v>6.2299944944160003E-2</v>
      </c>
      <c r="AH184" t="s">
        <v>105</v>
      </c>
    </row>
    <row r="185" spans="1:35" x14ac:dyDescent="0.2">
      <c r="A185" t="s">
        <v>105</v>
      </c>
      <c r="B185" t="s">
        <v>86</v>
      </c>
      <c r="C185" s="11">
        <f>INDEX(PlasticsUse!$B$94:$L$111,MATCH(dataforsankey!$A185,PlasticsUse!$A$94:$A$108,0),MATCH(dataforsankey!$B185,PlasticsUse!$B$93:$L$93,0))</f>
        <v>3.5599968539519046E-3</v>
      </c>
      <c r="G185" t="str">
        <f t="shared" si="22"/>
        <v>Styrene butadiene rubber</v>
      </c>
      <c r="H185" t="str">
        <f t="shared" si="23"/>
        <v>Other End Use Markets</v>
      </c>
      <c r="I185">
        <f t="shared" si="24"/>
        <v>3.5599968539519046E-3</v>
      </c>
      <c r="J185" t="str">
        <f t="shared" si="25"/>
        <v>Styrene butadiene rubber</v>
      </c>
      <c r="M185" t="s">
        <v>891</v>
      </c>
      <c r="N185" t="s">
        <v>103</v>
      </c>
      <c r="O185" s="11">
        <f>_xlfn.IFNA(INDEX('Imports - Products'!$B$24:$G$40,MATCH(dataforsankey!$P185,'Imports - Products'!$A$24:$A$40,0),MATCH(dataforsankey!$N185,'Imports - Products'!$B$23:$G$23,0)),0)*10^-6</f>
        <v>1.7139572271900574E-2</v>
      </c>
      <c r="P185" t="s">
        <v>105</v>
      </c>
      <c r="S185" t="s">
        <v>105</v>
      </c>
      <c r="T185" t="s">
        <v>103</v>
      </c>
      <c r="U185" s="11">
        <f t="shared" si="19"/>
        <v>0.10679990561856</v>
      </c>
      <c r="V185" t="s">
        <v>105</v>
      </c>
      <c r="Y185" t="s">
        <v>105</v>
      </c>
      <c r="Z185" t="s">
        <v>103</v>
      </c>
      <c r="AA185" s="11">
        <f t="shared" si="26"/>
        <v>0.10679990561856</v>
      </c>
      <c r="AB185" t="s">
        <v>105</v>
      </c>
      <c r="AE185" t="s">
        <v>105</v>
      </c>
      <c r="AF185" t="s">
        <v>103</v>
      </c>
      <c r="AG185" s="11">
        <f t="shared" si="27"/>
        <v>0.10679990561856</v>
      </c>
      <c r="AH185" t="s">
        <v>105</v>
      </c>
    </row>
    <row r="186" spans="1:35" x14ac:dyDescent="0.2">
      <c r="A186" t="s">
        <v>105</v>
      </c>
      <c r="B186" t="s">
        <v>18</v>
      </c>
      <c r="C186" s="11">
        <f>INDEX(PlasticsUse!$B$94:$L$111,MATCH(dataforsankey!$A186,PlasticsUse!$A$94:$A$108,0),MATCH(dataforsankey!$B186,PlasticsUse!$B$93:$L$93,0))</f>
        <v>0</v>
      </c>
      <c r="G186" t="str">
        <f t="shared" si="22"/>
        <v>Styrene butadiene rubber</v>
      </c>
      <c r="H186" t="str">
        <f t="shared" si="23"/>
        <v>Exports</v>
      </c>
      <c r="I186">
        <f t="shared" si="24"/>
        <v>0</v>
      </c>
      <c r="J186" t="str">
        <f t="shared" si="25"/>
        <v>Styrene butadiene rubber</v>
      </c>
      <c r="M186" t="s">
        <v>891</v>
      </c>
      <c r="N186" t="s">
        <v>86</v>
      </c>
      <c r="O186" s="11">
        <f>_xlfn.IFNA(INDEX('Imports - Products'!$B$24:$G$40,MATCH(dataforsankey!$P186,'Imports - Products'!$A$24:$A$40,0),MATCH(dataforsankey!$N186,'Imports - Products'!$B$23:$G$23,0)),0)*10^-6</f>
        <v>0</v>
      </c>
      <c r="P186" t="s">
        <v>105</v>
      </c>
      <c r="S186" t="s">
        <v>105</v>
      </c>
      <c r="T186" t="s">
        <v>86</v>
      </c>
      <c r="U186" s="11">
        <f t="shared" si="19"/>
        <v>3.5599968539519041E-3</v>
      </c>
      <c r="V186" t="s">
        <v>105</v>
      </c>
      <c r="Y186" t="s">
        <v>105</v>
      </c>
      <c r="Z186" t="s">
        <v>86</v>
      </c>
      <c r="AA186" s="11">
        <f t="shared" si="26"/>
        <v>3.5599968539519041E-3</v>
      </c>
      <c r="AB186" t="s">
        <v>105</v>
      </c>
      <c r="AE186" t="s">
        <v>105</v>
      </c>
      <c r="AF186" t="s">
        <v>86</v>
      </c>
      <c r="AG186" s="11">
        <f t="shared" si="27"/>
        <v>3.5599968539519041E-3</v>
      </c>
      <c r="AH186" t="s">
        <v>105</v>
      </c>
    </row>
    <row r="187" spans="1:35" x14ac:dyDescent="0.2">
      <c r="A187" t="s">
        <v>122</v>
      </c>
      <c r="B187" t="s">
        <v>38</v>
      </c>
      <c r="C187" s="11">
        <f>INDEX(PlasticsUse!$B$94:$L$111,MATCH(dataforsankey!$A187,PlasticsUse!$A$94:$A$108,0),MATCH(dataforsankey!$B187,PlasticsUse!$B$93:$L$93,0))</f>
        <v>0</v>
      </c>
      <c r="G187" t="str">
        <f t="shared" si="22"/>
        <v>Polyamide nylon</v>
      </c>
      <c r="H187" t="str">
        <f t="shared" si="23"/>
        <v>Building and Construction</v>
      </c>
      <c r="I187">
        <f t="shared" si="24"/>
        <v>0</v>
      </c>
      <c r="J187" t="str">
        <f t="shared" si="25"/>
        <v>Polyamide nylon</v>
      </c>
      <c r="M187" t="s">
        <v>891</v>
      </c>
      <c r="N187" t="s">
        <v>18</v>
      </c>
      <c r="O187" s="11">
        <f>_xlfn.IFNA(INDEX('Imports - Products'!$B$24:$G$40,MATCH(dataforsankey!$P187,'Imports - Products'!$A$24:$A$40,0),MATCH(dataforsankey!$N187,'Imports - Products'!$B$23:$G$23,0)),0)*10^-6</f>
        <v>0</v>
      </c>
      <c r="P187" t="s">
        <v>105</v>
      </c>
      <c r="S187" t="s">
        <v>105</v>
      </c>
      <c r="T187" t="s">
        <v>18</v>
      </c>
      <c r="U187" s="11">
        <f t="shared" si="19"/>
        <v>0</v>
      </c>
      <c r="V187" t="s">
        <v>105</v>
      </c>
      <c r="Y187" t="s">
        <v>105</v>
      </c>
      <c r="Z187" t="s">
        <v>18</v>
      </c>
      <c r="AA187" s="11">
        <f t="shared" si="26"/>
        <v>0</v>
      </c>
      <c r="AB187" t="s">
        <v>105</v>
      </c>
      <c r="AE187" t="s">
        <v>105</v>
      </c>
      <c r="AF187" t="s">
        <v>18</v>
      </c>
      <c r="AG187" s="11">
        <f t="shared" si="27"/>
        <v>0</v>
      </c>
      <c r="AH187" t="s">
        <v>105</v>
      </c>
    </row>
    <row r="188" spans="1:35" x14ac:dyDescent="0.2">
      <c r="A188" t="s">
        <v>122</v>
      </c>
      <c r="B188" t="s">
        <v>99</v>
      </c>
      <c r="C188" s="11">
        <f>INDEX(PlasticsUse!$B$94:$L$111,MATCH(dataforsankey!$A188,PlasticsUse!$A$94:$A$108,0),MATCH(dataforsankey!$B188,PlasticsUse!$B$93:$L$93,0))</f>
        <v>0</v>
      </c>
      <c r="G188" t="str">
        <f t="shared" si="22"/>
        <v>Polyamide nylon</v>
      </c>
      <c r="H188" t="str">
        <f t="shared" si="23"/>
        <v>Furniture and Furnishings</v>
      </c>
      <c r="I188">
        <f t="shared" si="24"/>
        <v>0</v>
      </c>
      <c r="J188" t="str">
        <f t="shared" si="25"/>
        <v>Polyamide nylon</v>
      </c>
      <c r="M188" t="s">
        <v>891</v>
      </c>
      <c r="N188" t="s">
        <v>38</v>
      </c>
      <c r="O188" s="11">
        <f>_xlfn.IFNA(INDEX('Imports - Products'!$B$24:$G$40,MATCH(dataforsankey!$P188,'Imports - Products'!$A$24:$A$40,0),MATCH(dataforsankey!$N188,'Imports - Products'!$B$23:$G$23,0)),0)*10^-6</f>
        <v>0</v>
      </c>
      <c r="P188" t="s">
        <v>576</v>
      </c>
      <c r="S188" t="s">
        <v>38</v>
      </c>
      <c r="T188" t="s">
        <v>330</v>
      </c>
      <c r="U188" s="11">
        <f t="shared" si="19"/>
        <v>0.87609700427647264</v>
      </c>
      <c r="V188" t="s">
        <v>82</v>
      </c>
      <c r="Y188" s="177" t="s">
        <v>38</v>
      </c>
      <c r="Z188" s="177" t="s">
        <v>330</v>
      </c>
      <c r="AA188" s="178">
        <f>INDEX('In-Use Stocks'!$M$81:$V$97,MATCH(dataforsankey!$AB188,'In-Use Stocks'!$L$81:$L$97,0),MATCH(dataforsankey!$Y188,'In-Use Stocks'!$M$80:$V$80,0))</f>
        <v>0.87609700427647264</v>
      </c>
      <c r="AB188" s="177" t="s">
        <v>82</v>
      </c>
      <c r="AE188" s="177" t="s">
        <v>38</v>
      </c>
      <c r="AF188" s="177" t="s">
        <v>330</v>
      </c>
      <c r="AG188" s="178">
        <f>INDEX('In-Use Stocks'!$M$81:$V$97,MATCH(dataforsankey!$AB188,'In-Use Stocks'!$L$81:$L$97,0),MATCH(dataforsankey!$Y188,'In-Use Stocks'!$M$80:$V$80,0))</f>
        <v>0.87609700427647264</v>
      </c>
      <c r="AH188" s="177" t="s">
        <v>82</v>
      </c>
      <c r="AI188" s="11"/>
    </row>
    <row r="189" spans="1:35" x14ac:dyDescent="0.2">
      <c r="A189" t="s">
        <v>122</v>
      </c>
      <c r="B189" t="s">
        <v>69</v>
      </c>
      <c r="C189" s="11">
        <f>INDEX(PlasticsUse!$B$94:$L$111,MATCH(dataforsankey!$A189,PlasticsUse!$A$94:$A$108,0),MATCH(dataforsankey!$B189,PlasticsUse!$B$93:$L$93,0))</f>
        <v>0</v>
      </c>
      <c r="G189" t="str">
        <f t="shared" si="22"/>
        <v>Polyamide nylon</v>
      </c>
      <c r="H189" t="str">
        <f t="shared" si="23"/>
        <v>Transportation</v>
      </c>
      <c r="I189">
        <f t="shared" si="24"/>
        <v>0</v>
      </c>
      <c r="J189" t="str">
        <f t="shared" si="25"/>
        <v>Polyamide nylon</v>
      </c>
      <c r="M189" t="s">
        <v>891</v>
      </c>
      <c r="N189" t="s">
        <v>99</v>
      </c>
      <c r="O189" s="11">
        <f>_xlfn.IFNA(INDEX('Imports - Products'!$B$24:$G$40,MATCH(dataforsankey!$P189,'Imports - Products'!$A$24:$A$40,0),MATCH(dataforsankey!$N189,'Imports - Products'!$B$23:$G$23,0)),0)*10^-6</f>
        <v>0</v>
      </c>
      <c r="P189" t="s">
        <v>576</v>
      </c>
      <c r="S189" t="s">
        <v>99</v>
      </c>
      <c r="T189" t="s">
        <v>330</v>
      </c>
      <c r="U189" s="11">
        <f t="shared" si="19"/>
        <v>2.1316939249435332</v>
      </c>
      <c r="V189" t="s">
        <v>82</v>
      </c>
      <c r="Y189" s="177" t="s">
        <v>99</v>
      </c>
      <c r="Z189" s="177" t="s">
        <v>330</v>
      </c>
      <c r="AA189" s="178">
        <f>INDEX('In-Use Stocks'!$M$81:$V$97,MATCH(dataforsankey!$AB189,'In-Use Stocks'!$L$81:$L$97,0),MATCH(dataforsankey!$Y189,'In-Use Stocks'!$M$80:$V$80,0))</f>
        <v>2.1316939249435332</v>
      </c>
      <c r="AB189" s="177" t="s">
        <v>82</v>
      </c>
      <c r="AE189" s="177" t="s">
        <v>99</v>
      </c>
      <c r="AF189" s="177" t="s">
        <v>330</v>
      </c>
      <c r="AG189" s="178">
        <f>INDEX('In-Use Stocks'!$M$81:$V$97,MATCH(dataforsankey!$AB189,'In-Use Stocks'!$L$81:$L$97,0),MATCH(dataforsankey!$Y189,'In-Use Stocks'!$M$80:$V$80,0))</f>
        <v>2.1316939249435332</v>
      </c>
      <c r="AH189" s="177" t="s">
        <v>82</v>
      </c>
    </row>
    <row r="190" spans="1:35" x14ac:dyDescent="0.2">
      <c r="A190" t="s">
        <v>122</v>
      </c>
      <c r="B190" t="s">
        <v>100</v>
      </c>
      <c r="C190" s="11">
        <f>INDEX(PlasticsUse!$B$94:$L$111,MATCH(dataforsankey!$A190,PlasticsUse!$A$94:$A$108,0),MATCH(dataforsankey!$B190,PlasticsUse!$B$93:$L$93,0))</f>
        <v>0</v>
      </c>
      <c r="G190" t="str">
        <f t="shared" si="22"/>
        <v>Polyamide nylon</v>
      </c>
      <c r="H190" t="str">
        <f t="shared" si="23"/>
        <v>Industrial/Machinery</v>
      </c>
      <c r="I190">
        <f t="shared" si="24"/>
        <v>0</v>
      </c>
      <c r="J190" t="str">
        <f t="shared" si="25"/>
        <v>Polyamide nylon</v>
      </c>
      <c r="M190" t="s">
        <v>891</v>
      </c>
      <c r="N190" t="s">
        <v>69</v>
      </c>
      <c r="O190" s="11">
        <f>_xlfn.IFNA(INDEX('Imports - Products'!$B$24:$G$40,MATCH(dataforsankey!$P190,'Imports - Products'!$A$24:$A$40,0),MATCH(dataforsankey!$N190,'Imports - Products'!$B$23:$G$23,0)),0)*10^-6</f>
        <v>0</v>
      </c>
      <c r="P190" t="s">
        <v>576</v>
      </c>
      <c r="S190" t="s">
        <v>69</v>
      </c>
      <c r="T190" t="s">
        <v>335</v>
      </c>
      <c r="U190" s="11">
        <f t="shared" si="19"/>
        <v>2.3115025971221326</v>
      </c>
      <c r="V190" t="s">
        <v>82</v>
      </c>
      <c r="Y190" t="s">
        <v>69</v>
      </c>
      <c r="Z190" t="s">
        <v>335</v>
      </c>
      <c r="AA190" s="11">
        <f>SUMIFS($O$23:$O$953,$M$23:$M$953,Y190,$N$23:$N$953,Z190,$P$23:$P$953,AB190)</f>
        <v>2.3115025971221326</v>
      </c>
      <c r="AB190" t="s">
        <v>82</v>
      </c>
      <c r="AE190" t="s">
        <v>69</v>
      </c>
      <c r="AF190" t="s">
        <v>335</v>
      </c>
      <c r="AG190" s="11">
        <f>SUMIFS($O$23:$O$953,$M$23:$M$953,AE190,$N$23:$N$953,AF190,$P$23:$P$953,AH190)</f>
        <v>2.3115025971221326</v>
      </c>
      <c r="AH190" t="s">
        <v>82</v>
      </c>
    </row>
    <row r="191" spans="1:35" x14ac:dyDescent="0.2">
      <c r="A191" t="s">
        <v>122</v>
      </c>
      <c r="B191" t="s">
        <v>39</v>
      </c>
      <c r="C191" s="11">
        <f>INDEX(PlasticsUse!$B$94:$L$111,MATCH(dataforsankey!$A191,PlasticsUse!$A$94:$A$108,0),MATCH(dataforsankey!$B191,PlasticsUse!$B$93:$L$93,0))</f>
        <v>0</v>
      </c>
      <c r="G191" t="str">
        <f t="shared" si="22"/>
        <v>Polyamide nylon</v>
      </c>
      <c r="H191" t="str">
        <f t="shared" si="23"/>
        <v>Packaging</v>
      </c>
      <c r="I191">
        <f t="shared" si="24"/>
        <v>0</v>
      </c>
      <c r="J191" t="str">
        <f t="shared" si="25"/>
        <v>Polyamide nylon</v>
      </c>
      <c r="M191" t="s">
        <v>891</v>
      </c>
      <c r="N191" t="s">
        <v>100</v>
      </c>
      <c r="O191" s="11">
        <f>_xlfn.IFNA(INDEX('Imports - Products'!$B$24:$G$40,MATCH(dataforsankey!$P191,'Imports - Products'!$A$24:$A$40,0),MATCH(dataforsankey!$N191,'Imports - Products'!$B$23:$G$23,0)),0)*10^-6</f>
        <v>0</v>
      </c>
      <c r="P191" t="s">
        <v>576</v>
      </c>
      <c r="S191" t="s">
        <v>100</v>
      </c>
      <c r="T191" t="s">
        <v>330</v>
      </c>
      <c r="U191" s="11">
        <f t="shared" si="19"/>
        <v>1.6969599654687759</v>
      </c>
      <c r="V191" t="s">
        <v>82</v>
      </c>
      <c r="Y191" s="177" t="s">
        <v>100</v>
      </c>
      <c r="Z191" s="177" t="s">
        <v>330</v>
      </c>
      <c r="AA191" s="178">
        <f>INDEX('In-Use Stocks'!$M$81:$V$97,MATCH(dataforsankey!$AB191,'In-Use Stocks'!$L$81:$L$97,0),MATCH(dataforsankey!$Y191,'In-Use Stocks'!$M$80:$V$80,0))</f>
        <v>1.6969599654687759</v>
      </c>
      <c r="AB191" s="177" t="s">
        <v>82</v>
      </c>
      <c r="AE191" s="177" t="s">
        <v>100</v>
      </c>
      <c r="AF191" s="177" t="s">
        <v>330</v>
      </c>
      <c r="AG191" s="178">
        <f>INDEX('In-Use Stocks'!$M$81:$V$97,MATCH(dataforsankey!$AB191,'In-Use Stocks'!$L$81:$L$97,0),MATCH(dataforsankey!$Y191,'In-Use Stocks'!$M$80:$V$80,0))</f>
        <v>1.6969599654687759</v>
      </c>
      <c r="AH191" s="177" t="s">
        <v>82</v>
      </c>
    </row>
    <row r="192" spans="1:35" x14ac:dyDescent="0.2">
      <c r="A192" t="s">
        <v>122</v>
      </c>
      <c r="B192" t="s">
        <v>68</v>
      </c>
      <c r="C192" s="11">
        <f>INDEX(PlasticsUse!$B$94:$L$111,MATCH(dataforsankey!$A192,PlasticsUse!$A$94:$A$108,0),MATCH(dataforsankey!$B192,PlasticsUse!$B$93:$L$93,0))</f>
        <v>0</v>
      </c>
      <c r="G192" t="str">
        <f t="shared" si="22"/>
        <v>Polyamide nylon</v>
      </c>
      <c r="H192" t="str">
        <f t="shared" si="23"/>
        <v>Electrical/Electronic</v>
      </c>
      <c r="I192">
        <f t="shared" si="24"/>
        <v>0</v>
      </c>
      <c r="J192" t="str">
        <f t="shared" si="25"/>
        <v>Polyamide nylon</v>
      </c>
      <c r="M192" t="s">
        <v>891</v>
      </c>
      <c r="N192" t="s">
        <v>39</v>
      </c>
      <c r="O192" s="11">
        <f>_xlfn.IFNA(INDEX('Imports - Products'!$B$24:$G$40,MATCH(dataforsankey!$P192,'Imports - Products'!$A$24:$A$40,0),MATCH(dataforsankey!$N192,'Imports - Products'!$B$23:$G$23,0)),0)*10^-6</f>
        <v>0</v>
      </c>
      <c r="P192" t="s">
        <v>576</v>
      </c>
      <c r="S192" t="s">
        <v>39</v>
      </c>
      <c r="T192" t="s">
        <v>330</v>
      </c>
      <c r="U192" s="11">
        <f t="shared" si="19"/>
        <v>2.7110069701520736</v>
      </c>
      <c r="V192" t="s">
        <v>82</v>
      </c>
      <c r="Y192" s="177" t="s">
        <v>39</v>
      </c>
      <c r="Z192" s="177" t="s">
        <v>330</v>
      </c>
      <c r="AA192" s="178">
        <f>INDEX('In-Use Stocks'!$M$81:$V$97,MATCH(dataforsankey!$AB192,'In-Use Stocks'!$L$81:$L$97,0),MATCH(dataforsankey!$Y192,'In-Use Stocks'!$M$80:$V$80,0))</f>
        <v>2.7110069701520736</v>
      </c>
      <c r="AB192" s="177" t="s">
        <v>82</v>
      </c>
      <c r="AE192" s="177" t="s">
        <v>39</v>
      </c>
      <c r="AF192" s="177" t="s">
        <v>330</v>
      </c>
      <c r="AG192" s="178">
        <f>INDEX('In-Use Stocks'!$M$81:$V$97,MATCH(dataforsankey!$AB192,'In-Use Stocks'!$L$81:$L$97,0),MATCH(dataforsankey!$Y192,'In-Use Stocks'!$M$80:$V$80,0))</f>
        <v>2.7110069701520736</v>
      </c>
      <c r="AH192" s="177" t="s">
        <v>82</v>
      </c>
    </row>
    <row r="193" spans="1:34" x14ac:dyDescent="0.2">
      <c r="A193" t="s">
        <v>122</v>
      </c>
      <c r="B193" t="s">
        <v>91</v>
      </c>
      <c r="C193" s="11" t="e">
        <f>INDEX(PlasticsUse!$B$94:$L$111,MATCH(dataforsankey!$A193,PlasticsUse!$A$94:$A$108,0),MATCH(dataforsankey!$B193,PlasticsUse!$B$93:$L$93,0))</f>
        <v>#N/A</v>
      </c>
      <c r="G193" t="str">
        <f t="shared" si="22"/>
        <v>Polyamide nylon</v>
      </c>
      <c r="H193" t="str">
        <f t="shared" si="23"/>
        <v>Consumer and Insitutional</v>
      </c>
      <c r="I193" t="e">
        <f t="shared" si="24"/>
        <v>#N/A</v>
      </c>
      <c r="J193" t="str">
        <f t="shared" si="25"/>
        <v>Polyamide nylon</v>
      </c>
      <c r="M193" t="s">
        <v>891</v>
      </c>
      <c r="N193" t="s">
        <v>68</v>
      </c>
      <c r="O193" s="11">
        <f>_xlfn.IFNA(INDEX('Imports - Products'!$B$24:$G$40,MATCH(dataforsankey!$P193,'Imports - Products'!$A$24:$A$40,0),MATCH(dataforsankey!$N193,'Imports - Products'!$B$23:$G$23,0)),0)*10^-6</f>
        <v>0</v>
      </c>
      <c r="P193" t="s">
        <v>576</v>
      </c>
      <c r="S193" t="s">
        <v>68</v>
      </c>
      <c r="T193" t="s">
        <v>330</v>
      </c>
      <c r="U193" s="11">
        <f t="shared" si="19"/>
        <v>2.4086138424269157</v>
      </c>
      <c r="V193" t="s">
        <v>82</v>
      </c>
      <c r="Y193" s="177" t="s">
        <v>68</v>
      </c>
      <c r="Z193" s="177" t="s">
        <v>330</v>
      </c>
      <c r="AA193" s="178">
        <f>INDEX('In-Use Stocks'!$M$81:$V$97,MATCH(dataforsankey!$AB193,'In-Use Stocks'!$L$81:$L$97,0),MATCH(dataforsankey!$Y193,'In-Use Stocks'!$M$80:$V$80,0))</f>
        <v>2.4086138424269157</v>
      </c>
      <c r="AB193" s="177" t="s">
        <v>82</v>
      </c>
      <c r="AE193" s="177" t="s">
        <v>68</v>
      </c>
      <c r="AF193" s="177" t="s">
        <v>330</v>
      </c>
      <c r="AG193" s="178">
        <f>INDEX('In-Use Stocks'!$M$81:$V$97,MATCH(dataforsankey!$AB193,'In-Use Stocks'!$L$81:$L$97,0),MATCH(dataforsankey!$Y193,'In-Use Stocks'!$M$80:$V$80,0))</f>
        <v>2.4086138424269157</v>
      </c>
      <c r="AH193" s="177" t="s">
        <v>82</v>
      </c>
    </row>
    <row r="194" spans="1:34" x14ac:dyDescent="0.2">
      <c r="A194" t="s">
        <v>122</v>
      </c>
      <c r="B194" t="s">
        <v>92</v>
      </c>
      <c r="C194" s="11">
        <f>INDEX(PlasticsUse!$B$94:$L$111,MATCH(dataforsankey!$A194,PlasticsUse!$A$94:$A$108,0),MATCH(dataforsankey!$B194,PlasticsUse!$B$93:$L$93,0))</f>
        <v>0</v>
      </c>
      <c r="G194" t="str">
        <f t="shared" si="22"/>
        <v>Polyamide nylon</v>
      </c>
      <c r="H194" t="str">
        <f t="shared" si="23"/>
        <v>Adhesives/Inks/Coatings</v>
      </c>
      <c r="I194">
        <f t="shared" si="24"/>
        <v>0</v>
      </c>
      <c r="J194" t="str">
        <f t="shared" si="25"/>
        <v>Polyamide nylon</v>
      </c>
      <c r="M194" t="s">
        <v>891</v>
      </c>
      <c r="N194" t="s">
        <v>63</v>
      </c>
      <c r="O194" s="11">
        <f>_xlfn.IFNA(INDEX('Imports - Products'!$B$24:$G$40,MATCH(dataforsankey!$P194,'Imports - Products'!$A$24:$A$40,0),MATCH(dataforsankey!$N194,'Imports - Products'!$B$23:$G$23,0)),0)*10^-6</f>
        <v>0</v>
      </c>
      <c r="P194" t="s">
        <v>576</v>
      </c>
      <c r="S194" t="s">
        <v>63</v>
      </c>
      <c r="T194" t="s">
        <v>330</v>
      </c>
      <c r="U194" s="11">
        <f t="shared" si="19"/>
        <v>2.2040823313200337</v>
      </c>
      <c r="V194" t="s">
        <v>82</v>
      </c>
      <c r="Y194" s="177" t="s">
        <v>63</v>
      </c>
      <c r="Z194" s="177" t="s">
        <v>330</v>
      </c>
      <c r="AA194" s="178">
        <f>INDEX('In-Use Stocks'!$M$81:$V$97,MATCH(dataforsankey!$AB194,'In-Use Stocks'!$L$81:$L$97,0),MATCH(dataforsankey!$Y194,'In-Use Stocks'!$M$80:$V$80,0))</f>
        <v>2.2040823313200337</v>
      </c>
      <c r="AB194" s="177" t="s">
        <v>82</v>
      </c>
      <c r="AE194" s="177" t="s">
        <v>63</v>
      </c>
      <c r="AF194" s="177" t="s">
        <v>330</v>
      </c>
      <c r="AG194" s="178">
        <f>INDEX('In-Use Stocks'!$M$81:$V$97,MATCH(dataforsankey!$AB194,'In-Use Stocks'!$L$81:$L$97,0),MATCH(dataforsankey!$Y194,'In-Use Stocks'!$M$80:$V$80,0))</f>
        <v>2.2040823313200337</v>
      </c>
      <c r="AH194" s="177" t="s">
        <v>82</v>
      </c>
    </row>
    <row r="195" spans="1:34" x14ac:dyDescent="0.2">
      <c r="A195" t="s">
        <v>122</v>
      </c>
      <c r="B195" t="s">
        <v>103</v>
      </c>
      <c r="C195" s="11">
        <f>INDEX(PlasticsUse!$B$94:$L$111,MATCH(dataforsankey!$A195,PlasticsUse!$A$94:$A$108,0),MATCH(dataforsankey!$B195,PlasticsUse!$B$93:$L$93,0))</f>
        <v>0</v>
      </c>
      <c r="G195" t="str">
        <f t="shared" si="22"/>
        <v>Polyamide nylon</v>
      </c>
      <c r="H195" t="str">
        <f t="shared" si="23"/>
        <v>Textiles, Fibers and Apparel</v>
      </c>
      <c r="I195">
        <f t="shared" si="24"/>
        <v>0</v>
      </c>
      <c r="J195" t="str">
        <f t="shared" si="25"/>
        <v>Polyamide nylon</v>
      </c>
      <c r="M195" t="s">
        <v>891</v>
      </c>
      <c r="N195" t="s">
        <v>92</v>
      </c>
      <c r="O195" s="11">
        <f>_xlfn.IFNA(INDEX('Imports - Products'!$B$24:$G$40,MATCH(dataforsankey!$P195,'Imports - Products'!$A$24:$A$40,0),MATCH(dataforsankey!$N195,'Imports - Products'!$B$23:$G$23,0)),0)*10^-6</f>
        <v>0</v>
      </c>
      <c r="P195" t="s">
        <v>576</v>
      </c>
      <c r="S195" t="s">
        <v>92</v>
      </c>
      <c r="T195" t="s">
        <v>330</v>
      </c>
      <c r="U195" s="11">
        <f t="shared" si="19"/>
        <v>1.9069718782156957</v>
      </c>
      <c r="V195" t="s">
        <v>82</v>
      </c>
      <c r="Y195" s="177" t="s">
        <v>92</v>
      </c>
      <c r="Z195" s="177" t="s">
        <v>330</v>
      </c>
      <c r="AA195" s="178">
        <f>INDEX('In-Use Stocks'!$M$81:$V$97,MATCH(dataforsankey!$AB195,'In-Use Stocks'!$L$81:$L$97,0),MATCH(dataforsankey!$Y195,'In-Use Stocks'!$M$80:$V$80,0))</f>
        <v>1.9069718782156957</v>
      </c>
      <c r="AB195" s="177" t="s">
        <v>82</v>
      </c>
      <c r="AE195" s="177" t="s">
        <v>92</v>
      </c>
      <c r="AF195" s="177" t="s">
        <v>330</v>
      </c>
      <c r="AG195" s="178">
        <f>INDEX('In-Use Stocks'!$M$81:$V$97,MATCH(dataforsankey!$AB195,'In-Use Stocks'!$L$81:$L$97,0),MATCH(dataforsankey!$Y195,'In-Use Stocks'!$M$80:$V$80,0))</f>
        <v>1.9069718782156957</v>
      </c>
      <c r="AH195" s="177" t="s">
        <v>82</v>
      </c>
    </row>
    <row r="196" spans="1:34" x14ac:dyDescent="0.2">
      <c r="A196" t="s">
        <v>122</v>
      </c>
      <c r="B196" t="s">
        <v>86</v>
      </c>
      <c r="C196" s="11">
        <f>INDEX(PlasticsUse!$B$94:$L$111,MATCH(dataforsankey!$A196,PlasticsUse!$A$94:$A$108,0),MATCH(dataforsankey!$B196,PlasticsUse!$B$93:$L$93,0))</f>
        <v>0.70483072062519059</v>
      </c>
      <c r="G196" t="str">
        <f t="shared" si="22"/>
        <v>Polyamide nylon</v>
      </c>
      <c r="H196" t="str">
        <f t="shared" si="23"/>
        <v>Other End Use Markets</v>
      </c>
      <c r="I196">
        <f t="shared" si="24"/>
        <v>0.70483072062519059</v>
      </c>
      <c r="J196" t="str">
        <f t="shared" si="25"/>
        <v>Polyamide nylon</v>
      </c>
      <c r="M196" t="s">
        <v>891</v>
      </c>
      <c r="N196" t="s">
        <v>103</v>
      </c>
      <c r="O196" s="11">
        <f>_xlfn.IFNA(INDEX('Imports - Products'!$B$24:$G$40,MATCH(dataforsankey!$P196,'Imports - Products'!$A$24:$A$40,0),MATCH(dataforsankey!$N196,'Imports - Products'!$B$23:$G$23,0)),0)*10^-6</f>
        <v>0</v>
      </c>
      <c r="P196" t="s">
        <v>576</v>
      </c>
      <c r="S196" t="s">
        <v>103</v>
      </c>
      <c r="T196" t="s">
        <v>330</v>
      </c>
      <c r="U196" s="11">
        <f t="shared" si="19"/>
        <v>2.2130085000446935</v>
      </c>
      <c r="V196" t="s">
        <v>82</v>
      </c>
      <c r="Y196" s="177" t="s">
        <v>103</v>
      </c>
      <c r="Z196" s="177" t="s">
        <v>330</v>
      </c>
      <c r="AA196" s="178">
        <f>INDEX('In-Use Stocks'!$M$81:$V$97,MATCH(dataforsankey!$AB196,'In-Use Stocks'!$L$81:$L$97,0),MATCH(dataforsankey!$Y196,'In-Use Stocks'!$M$80:$V$80,0))</f>
        <v>2.2130085000446935</v>
      </c>
      <c r="AB196" s="177" t="s">
        <v>82</v>
      </c>
      <c r="AE196" s="177" t="s">
        <v>103</v>
      </c>
      <c r="AF196" s="177" t="s">
        <v>330</v>
      </c>
      <c r="AG196" s="178">
        <f>INDEX('In-Use Stocks'!$M$81:$V$97,MATCH(dataforsankey!$AB196,'In-Use Stocks'!$L$81:$L$97,0),MATCH(dataforsankey!$Y196,'In-Use Stocks'!$M$80:$V$80,0))</f>
        <v>2.2130085000446935</v>
      </c>
      <c r="AH196" s="177" t="s">
        <v>82</v>
      </c>
    </row>
    <row r="197" spans="1:34" x14ac:dyDescent="0.2">
      <c r="A197" t="s">
        <v>122</v>
      </c>
      <c r="B197" t="s">
        <v>18</v>
      </c>
      <c r="C197" s="11">
        <f>INDEX(PlasticsUse!$B$94:$L$111,MATCH(dataforsankey!$A197,PlasticsUse!$A$94:$A$108,0),MATCH(dataforsankey!$B197,PlasticsUse!$B$93:$L$93,0))</f>
        <v>0</v>
      </c>
      <c r="G197" t="str">
        <f t="shared" si="22"/>
        <v>Polyamide nylon</v>
      </c>
      <c r="H197" t="str">
        <f t="shared" si="23"/>
        <v>Exports</v>
      </c>
      <c r="I197">
        <f t="shared" si="24"/>
        <v>0</v>
      </c>
      <c r="J197" t="str">
        <f t="shared" si="25"/>
        <v>Polyamide nylon</v>
      </c>
      <c r="M197" t="s">
        <v>891</v>
      </c>
      <c r="N197" t="s">
        <v>86</v>
      </c>
      <c r="O197" s="11">
        <f>_xlfn.IFNA(INDEX('Imports - Products'!$B$24:$G$40,MATCH(dataforsankey!$P197,'Imports - Products'!$A$24:$A$40,0),MATCH(dataforsankey!$N197,'Imports - Products'!$B$23:$G$23,0)),0)*10^-6</f>
        <v>0</v>
      </c>
      <c r="P197" t="s">
        <v>576</v>
      </c>
      <c r="S197" t="s">
        <v>86</v>
      </c>
      <c r="T197" t="s">
        <v>330</v>
      </c>
      <c r="U197" s="11">
        <f t="shared" si="19"/>
        <v>1.9069718782156957</v>
      </c>
      <c r="V197" t="s">
        <v>82</v>
      </c>
      <c r="Y197" s="177" t="s">
        <v>86</v>
      </c>
      <c r="Z197" s="177" t="s">
        <v>330</v>
      </c>
      <c r="AA197" s="178">
        <f>INDEX('In-Use Stocks'!$M$81:$V$97,MATCH(dataforsankey!$AB197,'In-Use Stocks'!$L$81:$L$97,0),MATCH(dataforsankey!$Y197,'In-Use Stocks'!$M$80:$V$80,0))</f>
        <v>1.9069718782156957</v>
      </c>
      <c r="AB197" s="177" t="s">
        <v>82</v>
      </c>
      <c r="AE197" s="177" t="s">
        <v>86</v>
      </c>
      <c r="AF197" s="177" t="s">
        <v>330</v>
      </c>
      <c r="AG197" s="178">
        <f>INDEX('In-Use Stocks'!$M$81:$V$97,MATCH(dataforsankey!$AB197,'In-Use Stocks'!$L$81:$L$97,0),MATCH(dataforsankey!$Y197,'In-Use Stocks'!$M$80:$V$80,0))</f>
        <v>1.9069718782156957</v>
      </c>
      <c r="AH197" s="177" t="s">
        <v>82</v>
      </c>
    </row>
    <row r="198" spans="1:34" x14ac:dyDescent="0.2">
      <c r="A198" t="s">
        <v>82</v>
      </c>
      <c r="B198" t="s">
        <v>38</v>
      </c>
      <c r="C198" s="11">
        <f>INDEX(PlasticsUse!$B$94:$L$111,MATCH(dataforsankey!$A198,PlasticsUse!$A$94:$A$108,0),MATCH(dataforsankey!$B198,PlasticsUse!$B$93:$L$93,0))</f>
        <v>2.2757299574526351</v>
      </c>
      <c r="G198" t="str">
        <f t="shared" si="22"/>
        <v>Polyurethane</v>
      </c>
      <c r="H198" t="str">
        <f t="shared" si="23"/>
        <v>Building and Construction</v>
      </c>
      <c r="I198">
        <f t="shared" si="24"/>
        <v>2.2757299574526351</v>
      </c>
      <c r="J198" t="str">
        <f t="shared" si="25"/>
        <v>Polyurethane</v>
      </c>
      <c r="M198" t="s">
        <v>891</v>
      </c>
      <c r="N198" t="s">
        <v>18</v>
      </c>
      <c r="O198" s="11">
        <f>_xlfn.IFNA(INDEX('Imports - Products'!$B$24:$G$40,MATCH(dataforsankey!$P198,'Imports - Products'!$A$24:$A$40,0),MATCH(dataforsankey!$N198,'Imports - Products'!$B$23:$G$23,0)),0)*10^-6</f>
        <v>0</v>
      </c>
      <c r="P198" t="s">
        <v>576</v>
      </c>
      <c r="S198" t="s">
        <v>38</v>
      </c>
      <c r="T198" t="s">
        <v>330</v>
      </c>
      <c r="U198" s="11">
        <f t="shared" si="19"/>
        <v>0</v>
      </c>
      <c r="V198" t="s">
        <v>127</v>
      </c>
      <c r="Y198" s="177" t="s">
        <v>38</v>
      </c>
      <c r="Z198" s="177" t="s">
        <v>330</v>
      </c>
      <c r="AA198" s="178">
        <f>INDEX('In-Use Stocks'!$M$81:$V$97,MATCH(dataforsankey!$AB198,'In-Use Stocks'!$L$81:$L$97,0),MATCH(dataforsankey!$Y198,'In-Use Stocks'!$M$80:$V$80,0))</f>
        <v>0</v>
      </c>
      <c r="AB198" s="177" t="s">
        <v>127</v>
      </c>
      <c r="AE198" s="177" t="s">
        <v>38</v>
      </c>
      <c r="AF198" s="177" t="s">
        <v>330</v>
      </c>
      <c r="AG198" s="178">
        <f>INDEX('In-Use Stocks'!$M$81:$V$97,MATCH(dataforsankey!$AB198,'In-Use Stocks'!$L$81:$L$97,0),MATCH(dataforsankey!$Y198,'In-Use Stocks'!$M$80:$V$80,0))</f>
        <v>0</v>
      </c>
      <c r="AH198" s="177" t="s">
        <v>127</v>
      </c>
    </row>
    <row r="199" spans="1:34" x14ac:dyDescent="0.2">
      <c r="A199" t="s">
        <v>82</v>
      </c>
      <c r="B199" t="s">
        <v>99</v>
      </c>
      <c r="C199" s="11">
        <f>INDEX(PlasticsUse!$B$94:$L$111,MATCH(dataforsankey!$A199,PlasticsUse!$A$94:$A$108,0),MATCH(dataforsankey!$B199,PlasticsUse!$B$93:$L$93,0))</f>
        <v>2.5439073226674389</v>
      </c>
      <c r="G199" t="str">
        <f t="shared" si="22"/>
        <v>Polyurethane</v>
      </c>
      <c r="H199" t="str">
        <f t="shared" si="23"/>
        <v>Furniture and Furnishings</v>
      </c>
      <c r="I199">
        <f t="shared" si="24"/>
        <v>2.5439073226674389</v>
      </c>
      <c r="J199" t="str">
        <f t="shared" si="25"/>
        <v>Polyurethane</v>
      </c>
      <c r="M199" t="s">
        <v>891</v>
      </c>
      <c r="N199" t="s">
        <v>38</v>
      </c>
      <c r="O199" s="11">
        <f>_xlfn.IFNA(INDEX('Imports - Products'!$B$24:$G$40,MATCH(dataforsankey!$P199,'Imports - Products'!$A$24:$A$40,0),MATCH(dataforsankey!$N199,'Imports - Products'!$B$23:$G$23,0)),0)*10^-6</f>
        <v>0</v>
      </c>
      <c r="P199" t="s">
        <v>575</v>
      </c>
      <c r="S199" t="s">
        <v>99</v>
      </c>
      <c r="T199" t="s">
        <v>330</v>
      </c>
      <c r="U199" s="11">
        <f t="shared" si="19"/>
        <v>0</v>
      </c>
      <c r="V199" t="s">
        <v>127</v>
      </c>
      <c r="Y199" s="177" t="s">
        <v>99</v>
      </c>
      <c r="Z199" s="177" t="s">
        <v>330</v>
      </c>
      <c r="AA199" s="178">
        <f>INDEX('In-Use Stocks'!$M$81:$V$97,MATCH(dataforsankey!$AB199,'In-Use Stocks'!$L$81:$L$97,0),MATCH(dataforsankey!$Y199,'In-Use Stocks'!$M$80:$V$80,0))</f>
        <v>0</v>
      </c>
      <c r="AB199" s="177" t="s">
        <v>127</v>
      </c>
      <c r="AE199" s="177" t="s">
        <v>99</v>
      </c>
      <c r="AF199" s="177" t="s">
        <v>330</v>
      </c>
      <c r="AG199" s="178">
        <f>INDEX('In-Use Stocks'!$M$81:$V$97,MATCH(dataforsankey!$AB199,'In-Use Stocks'!$L$81:$L$97,0),MATCH(dataforsankey!$Y199,'In-Use Stocks'!$M$80:$V$80,0))</f>
        <v>0</v>
      </c>
      <c r="AH199" s="177" t="s">
        <v>127</v>
      </c>
    </row>
    <row r="200" spans="1:34" x14ac:dyDescent="0.2">
      <c r="A200" t="s">
        <v>82</v>
      </c>
      <c r="B200" t="s">
        <v>69</v>
      </c>
      <c r="C200" s="11">
        <f>INDEX(PlasticsUse!$B$94:$L$111,MATCH(dataforsankey!$A200,PlasticsUse!$A$94:$A$108,0),MATCH(dataforsankey!$B200,PlasticsUse!$B$93:$L$93,0))</f>
        <v>2.8329021568909853</v>
      </c>
      <c r="G200" t="str">
        <f t="shared" si="22"/>
        <v>Polyurethane</v>
      </c>
      <c r="H200" t="str">
        <f t="shared" si="23"/>
        <v>Transportation</v>
      </c>
      <c r="I200">
        <f t="shared" si="24"/>
        <v>2.8329021568909853</v>
      </c>
      <c r="J200" t="str">
        <f t="shared" si="25"/>
        <v>Polyurethane</v>
      </c>
      <c r="M200" t="s">
        <v>891</v>
      </c>
      <c r="N200" t="s">
        <v>99</v>
      </c>
      <c r="O200" s="11">
        <f>_xlfn.IFNA(INDEX('Imports - Products'!$B$24:$G$40,MATCH(dataforsankey!$P200,'Imports - Products'!$A$24:$A$40,0),MATCH(dataforsankey!$N200,'Imports - Products'!$B$23:$G$23,0)),0)*10^-6</f>
        <v>0</v>
      </c>
      <c r="P200" t="s">
        <v>575</v>
      </c>
      <c r="S200" t="s">
        <v>69</v>
      </c>
      <c r="T200" t="s">
        <v>335</v>
      </c>
      <c r="U200" s="11">
        <f t="shared" si="19"/>
        <v>0</v>
      </c>
      <c r="V200" t="s">
        <v>127</v>
      </c>
      <c r="Y200" t="s">
        <v>69</v>
      </c>
      <c r="Z200" t="s">
        <v>335</v>
      </c>
      <c r="AA200" s="11">
        <f>SUMIFS($O$23:$O$953,$M$23:$M$953,Y200,$N$23:$N$953,Z200,$P$23:$P$953,AB200)</f>
        <v>0</v>
      </c>
      <c r="AB200" t="s">
        <v>127</v>
      </c>
      <c r="AE200" t="s">
        <v>69</v>
      </c>
      <c r="AF200" t="s">
        <v>335</v>
      </c>
      <c r="AG200" s="11">
        <f>SUMIFS($O$23:$O$953,$M$23:$M$953,AE200,$N$23:$N$953,AF200,$P$23:$P$953,AH200)</f>
        <v>0</v>
      </c>
      <c r="AH200" t="s">
        <v>127</v>
      </c>
    </row>
    <row r="201" spans="1:34" x14ac:dyDescent="0.2">
      <c r="A201" t="s">
        <v>82</v>
      </c>
      <c r="B201" t="s">
        <v>100</v>
      </c>
      <c r="C201" s="11">
        <f>INDEX(PlasticsUse!$B$94:$L$111,MATCH(dataforsankey!$A201,PlasticsUse!$A$94:$A$108,0),MATCH(dataforsankey!$B201,PlasticsUse!$B$93:$L$93,0))</f>
        <v>2.2757299574526351</v>
      </c>
      <c r="G201" t="str">
        <f t="shared" si="22"/>
        <v>Polyurethane</v>
      </c>
      <c r="H201" t="str">
        <f t="shared" si="23"/>
        <v>Industrial/Machinery</v>
      </c>
      <c r="I201">
        <f t="shared" si="24"/>
        <v>2.2757299574526351</v>
      </c>
      <c r="J201" t="str">
        <f t="shared" si="25"/>
        <v>Polyurethane</v>
      </c>
      <c r="M201" t="s">
        <v>891</v>
      </c>
      <c r="N201" t="s">
        <v>69</v>
      </c>
      <c r="O201" s="11">
        <f>_xlfn.IFNA(INDEX('Imports - Products'!$B$24:$G$40,MATCH(dataforsankey!$P201,'Imports - Products'!$A$24:$A$40,0),MATCH(dataforsankey!$N201,'Imports - Products'!$B$23:$G$23,0)),0)*10^-6</f>
        <v>0</v>
      </c>
      <c r="P201" t="s">
        <v>575</v>
      </c>
      <c r="S201" t="s">
        <v>100</v>
      </c>
      <c r="T201" t="s">
        <v>330</v>
      </c>
      <c r="U201" s="11">
        <f t="shared" si="19"/>
        <v>0</v>
      </c>
      <c r="V201" t="s">
        <v>127</v>
      </c>
      <c r="Y201" s="177" t="s">
        <v>100</v>
      </c>
      <c r="Z201" s="177" t="s">
        <v>330</v>
      </c>
      <c r="AA201" s="178">
        <f>INDEX('In-Use Stocks'!$M$81:$V$97,MATCH(dataforsankey!$AB201,'In-Use Stocks'!$L$81:$L$97,0),MATCH(dataforsankey!$Y201,'In-Use Stocks'!$M$80:$V$80,0))</f>
        <v>0</v>
      </c>
      <c r="AB201" s="177" t="s">
        <v>127</v>
      </c>
      <c r="AE201" s="177" t="s">
        <v>100</v>
      </c>
      <c r="AF201" s="177" t="s">
        <v>330</v>
      </c>
      <c r="AG201" s="178">
        <f>INDEX('In-Use Stocks'!$M$81:$V$97,MATCH(dataforsankey!$AB201,'In-Use Stocks'!$L$81:$L$97,0),MATCH(dataforsankey!$Y201,'In-Use Stocks'!$M$80:$V$80,0))</f>
        <v>0</v>
      </c>
      <c r="AH201" s="177" t="s">
        <v>127</v>
      </c>
    </row>
    <row r="202" spans="1:34" x14ac:dyDescent="0.2">
      <c r="A202" t="s">
        <v>82</v>
      </c>
      <c r="B202" t="s">
        <v>39</v>
      </c>
      <c r="C202" s="11">
        <f>INDEX(PlasticsUse!$B$94:$L$111,MATCH(dataforsankey!$A202,PlasticsUse!$A$94:$A$108,0),MATCH(dataforsankey!$B202,PlasticsUse!$B$93:$L$93,0))</f>
        <v>2.7110371112747322</v>
      </c>
      <c r="G202" t="str">
        <f t="shared" si="22"/>
        <v>Polyurethane</v>
      </c>
      <c r="H202" t="str">
        <f t="shared" si="23"/>
        <v>Packaging</v>
      </c>
      <c r="I202">
        <f t="shared" si="24"/>
        <v>2.7110371112747322</v>
      </c>
      <c r="J202" t="str">
        <f t="shared" si="25"/>
        <v>Polyurethane</v>
      </c>
      <c r="M202" t="s">
        <v>891</v>
      </c>
      <c r="N202" t="s">
        <v>100</v>
      </c>
      <c r="O202" s="11">
        <f>_xlfn.IFNA(INDEX('Imports - Products'!$B$24:$G$40,MATCH(dataforsankey!$P202,'Imports - Products'!$A$24:$A$40,0),MATCH(dataforsankey!$N202,'Imports - Products'!$B$23:$G$23,0)),0)*10^-6</f>
        <v>0</v>
      </c>
      <c r="P202" t="s">
        <v>575</v>
      </c>
      <c r="S202" t="s">
        <v>39</v>
      </c>
      <c r="T202" t="s">
        <v>330</v>
      </c>
      <c r="U202" s="11">
        <f t="shared" si="19"/>
        <v>0</v>
      </c>
      <c r="V202" t="s">
        <v>127</v>
      </c>
      <c r="Y202" s="177" t="s">
        <v>39</v>
      </c>
      <c r="Z202" s="177" t="s">
        <v>330</v>
      </c>
      <c r="AA202" s="178">
        <f>INDEX('In-Use Stocks'!$M$81:$V$97,MATCH(dataforsankey!$AB202,'In-Use Stocks'!$L$81:$L$97,0),MATCH(dataforsankey!$Y202,'In-Use Stocks'!$M$80:$V$80,0))</f>
        <v>0</v>
      </c>
      <c r="AB202" s="177" t="s">
        <v>127</v>
      </c>
      <c r="AE202" s="177" t="s">
        <v>39</v>
      </c>
      <c r="AF202" s="177" t="s">
        <v>330</v>
      </c>
      <c r="AG202" s="178">
        <f>INDEX('In-Use Stocks'!$M$81:$V$97,MATCH(dataforsankey!$AB202,'In-Use Stocks'!$L$81:$L$97,0),MATCH(dataforsankey!$Y202,'In-Use Stocks'!$M$80:$V$80,0))</f>
        <v>0</v>
      </c>
      <c r="AH202" s="177" t="s">
        <v>127</v>
      </c>
    </row>
    <row r="203" spans="1:34" x14ac:dyDescent="0.2">
      <c r="A203" t="s">
        <v>82</v>
      </c>
      <c r="B203" t="s">
        <v>68</v>
      </c>
      <c r="C203" s="11">
        <f>INDEX(PlasticsUse!$B$94:$L$111,MATCH(dataforsankey!$A203,PlasticsUse!$A$94:$A$108,0),MATCH(dataforsankey!$B203,PlasticsUse!$B$93:$L$93,0))</f>
        <v>2.9872421541313874</v>
      </c>
      <c r="G203" t="str">
        <f t="shared" si="22"/>
        <v>Polyurethane</v>
      </c>
      <c r="H203" t="str">
        <f t="shared" si="23"/>
        <v>Electrical/Electronic</v>
      </c>
      <c r="I203">
        <f t="shared" si="24"/>
        <v>2.9872421541313874</v>
      </c>
      <c r="J203" t="str">
        <f t="shared" si="25"/>
        <v>Polyurethane</v>
      </c>
      <c r="M203" t="s">
        <v>891</v>
      </c>
      <c r="N203" t="s">
        <v>39</v>
      </c>
      <c r="O203" s="11">
        <f>_xlfn.IFNA(INDEX('Imports - Products'!$B$24:$G$40,MATCH(dataforsankey!$P203,'Imports - Products'!$A$24:$A$40,0),MATCH(dataforsankey!$N203,'Imports - Products'!$B$23:$G$23,0)),0)*10^-6</f>
        <v>0</v>
      </c>
      <c r="P203" t="s">
        <v>575</v>
      </c>
      <c r="S203" t="s">
        <v>68</v>
      </c>
      <c r="T203" t="s">
        <v>330</v>
      </c>
      <c r="U203" s="11">
        <f t="shared" si="19"/>
        <v>0</v>
      </c>
      <c r="V203" t="s">
        <v>127</v>
      </c>
      <c r="Y203" s="177" t="s">
        <v>68</v>
      </c>
      <c r="Z203" s="177" t="s">
        <v>330</v>
      </c>
      <c r="AA203" s="178">
        <f>INDEX('In-Use Stocks'!$M$81:$V$97,MATCH(dataforsankey!$AB203,'In-Use Stocks'!$L$81:$L$97,0),MATCH(dataforsankey!$Y203,'In-Use Stocks'!$M$80:$V$80,0))</f>
        <v>0</v>
      </c>
      <c r="AB203" s="177" t="s">
        <v>127</v>
      </c>
      <c r="AE203" s="177" t="s">
        <v>68</v>
      </c>
      <c r="AF203" s="177" t="s">
        <v>330</v>
      </c>
      <c r="AG203" s="178">
        <f>INDEX('In-Use Stocks'!$M$81:$V$97,MATCH(dataforsankey!$AB203,'In-Use Stocks'!$L$81:$L$97,0),MATCH(dataforsankey!$Y203,'In-Use Stocks'!$M$80:$V$80,0))</f>
        <v>0</v>
      </c>
      <c r="AH203" s="177" t="s">
        <v>127</v>
      </c>
    </row>
    <row r="204" spans="1:34" x14ac:dyDescent="0.2">
      <c r="A204" t="s">
        <v>82</v>
      </c>
      <c r="B204" t="s">
        <v>91</v>
      </c>
      <c r="C204" s="11" t="e">
        <f>INDEX(PlasticsUse!$B$94:$L$111,MATCH(dataforsankey!$A204,PlasticsUse!$A$94:$A$108,0),MATCH(dataforsankey!$B204,PlasticsUse!$B$93:$L$93,0))</f>
        <v>#N/A</v>
      </c>
      <c r="G204" t="str">
        <f t="shared" si="22"/>
        <v>Polyurethane</v>
      </c>
      <c r="H204" t="str">
        <f t="shared" si="23"/>
        <v>Consumer and Insitutional</v>
      </c>
      <c r="I204" t="e">
        <f t="shared" si="24"/>
        <v>#N/A</v>
      </c>
      <c r="J204" t="str">
        <f t="shared" si="25"/>
        <v>Polyurethane</v>
      </c>
      <c r="M204" t="s">
        <v>891</v>
      </c>
      <c r="N204" t="s">
        <v>68</v>
      </c>
      <c r="O204" s="11">
        <f>_xlfn.IFNA(INDEX('Imports - Products'!$B$24:$G$40,MATCH(dataforsankey!$P204,'Imports - Products'!$A$24:$A$40,0),MATCH(dataforsankey!$N204,'Imports - Products'!$B$23:$G$23,0)),0)*10^-6</f>
        <v>0</v>
      </c>
      <c r="P204" t="s">
        <v>575</v>
      </c>
      <c r="S204" t="s">
        <v>63</v>
      </c>
      <c r="T204" t="s">
        <v>330</v>
      </c>
      <c r="U204" s="11">
        <f t="shared" si="19"/>
        <v>0</v>
      </c>
      <c r="V204" t="s">
        <v>127</v>
      </c>
      <c r="Y204" s="177" t="s">
        <v>63</v>
      </c>
      <c r="Z204" s="177" t="s">
        <v>330</v>
      </c>
      <c r="AA204" s="178">
        <f>INDEX('In-Use Stocks'!$M$81:$V$97,MATCH(dataforsankey!$AB204,'In-Use Stocks'!$L$81:$L$97,0),MATCH(dataforsankey!$Y204,'In-Use Stocks'!$M$80:$V$80,0))</f>
        <v>0</v>
      </c>
      <c r="AB204" s="177" t="s">
        <v>127</v>
      </c>
      <c r="AE204" s="177" t="s">
        <v>63</v>
      </c>
      <c r="AF204" s="177" t="s">
        <v>330</v>
      </c>
      <c r="AG204" s="178">
        <f>INDEX('In-Use Stocks'!$M$81:$V$97,MATCH(dataforsankey!$AB204,'In-Use Stocks'!$L$81:$L$97,0),MATCH(dataforsankey!$Y204,'In-Use Stocks'!$M$80:$V$80,0))</f>
        <v>0</v>
      </c>
      <c r="AH204" s="177" t="s">
        <v>127</v>
      </c>
    </row>
    <row r="205" spans="1:34" x14ac:dyDescent="0.2">
      <c r="A205" t="s">
        <v>82</v>
      </c>
      <c r="B205" t="s">
        <v>92</v>
      </c>
      <c r="C205" s="11">
        <f>INDEX(PlasticsUse!$B$94:$L$111,MATCH(dataforsankey!$A205,PlasticsUse!$A$94:$A$108,0),MATCH(dataforsankey!$B205,PlasticsUse!$B$93:$L$93,0))</f>
        <v>2.2757299574526351</v>
      </c>
      <c r="G205" t="str">
        <f t="shared" si="22"/>
        <v>Polyurethane</v>
      </c>
      <c r="H205" t="str">
        <f t="shared" si="23"/>
        <v>Adhesives/Inks/Coatings</v>
      </c>
      <c r="I205">
        <f t="shared" si="24"/>
        <v>2.2757299574526351</v>
      </c>
      <c r="J205" t="str">
        <f t="shared" si="25"/>
        <v>Polyurethane</v>
      </c>
      <c r="M205" t="s">
        <v>891</v>
      </c>
      <c r="N205" t="s">
        <v>63</v>
      </c>
      <c r="O205" s="11">
        <f>_xlfn.IFNA(INDEX('Imports - Products'!$B$24:$G$40,MATCH(dataforsankey!$P205,'Imports - Products'!$A$24:$A$40,0),MATCH(dataforsankey!$N205,'Imports - Products'!$B$23:$G$23,0)),0)*10^-6</f>
        <v>0</v>
      </c>
      <c r="P205" t="s">
        <v>575</v>
      </c>
      <c r="S205" t="s">
        <v>92</v>
      </c>
      <c r="T205" t="s">
        <v>330</v>
      </c>
      <c r="U205" s="11">
        <f t="shared" si="19"/>
        <v>0</v>
      </c>
      <c r="V205" t="s">
        <v>127</v>
      </c>
      <c r="Y205" s="177" t="s">
        <v>92</v>
      </c>
      <c r="Z205" s="177" t="s">
        <v>330</v>
      </c>
      <c r="AA205" s="178">
        <f>INDEX('In-Use Stocks'!$M$81:$V$97,MATCH(dataforsankey!$AB205,'In-Use Stocks'!$L$81:$L$97,0),MATCH(dataforsankey!$Y205,'In-Use Stocks'!$M$80:$V$80,0))</f>
        <v>0</v>
      </c>
      <c r="AB205" s="177" t="s">
        <v>127</v>
      </c>
      <c r="AE205" s="177" t="s">
        <v>92</v>
      </c>
      <c r="AF205" s="177" t="s">
        <v>330</v>
      </c>
      <c r="AG205" s="178">
        <f>INDEX('In-Use Stocks'!$M$81:$V$97,MATCH(dataforsankey!$AB205,'In-Use Stocks'!$L$81:$L$97,0),MATCH(dataforsankey!$Y205,'In-Use Stocks'!$M$80:$V$80,0))</f>
        <v>0</v>
      </c>
      <c r="AH205" s="177" t="s">
        <v>127</v>
      </c>
    </row>
    <row r="206" spans="1:34" x14ac:dyDescent="0.2">
      <c r="A206" t="s">
        <v>82</v>
      </c>
      <c r="B206" t="s">
        <v>103</v>
      </c>
      <c r="C206" s="11">
        <f>INDEX(PlasticsUse!$B$94:$L$111,MATCH(dataforsankey!$A206,PlasticsUse!$A$94:$A$108,0),MATCH(dataforsankey!$B206,PlasticsUse!$B$93:$L$93,0))</f>
        <v>2.640945992534133</v>
      </c>
      <c r="G206" t="str">
        <f t="shared" si="22"/>
        <v>Polyurethane</v>
      </c>
      <c r="H206" t="str">
        <f t="shared" si="23"/>
        <v>Textiles, Fibers and Apparel</v>
      </c>
      <c r="I206">
        <f t="shared" si="24"/>
        <v>2.640945992534133</v>
      </c>
      <c r="J206" t="str">
        <f t="shared" si="25"/>
        <v>Polyurethane</v>
      </c>
      <c r="M206" t="s">
        <v>891</v>
      </c>
      <c r="N206" t="s">
        <v>92</v>
      </c>
      <c r="O206" s="11">
        <f>_xlfn.IFNA(INDEX('Imports - Products'!$B$24:$G$40,MATCH(dataforsankey!$P206,'Imports - Products'!$A$24:$A$40,0),MATCH(dataforsankey!$N206,'Imports - Products'!$B$23:$G$23,0)),0)*10^-6</f>
        <v>0</v>
      </c>
      <c r="P206" t="s">
        <v>575</v>
      </c>
      <c r="S206" t="s">
        <v>103</v>
      </c>
      <c r="T206" t="s">
        <v>330</v>
      </c>
      <c r="U206" s="11">
        <f t="shared" si="19"/>
        <v>0</v>
      </c>
      <c r="V206" t="s">
        <v>127</v>
      </c>
      <c r="Y206" s="177" t="s">
        <v>103</v>
      </c>
      <c r="Z206" s="177" t="s">
        <v>330</v>
      </c>
      <c r="AA206" s="178">
        <f>INDEX('In-Use Stocks'!$M$81:$V$97,MATCH(dataforsankey!$AB206,'In-Use Stocks'!$L$81:$L$97,0),MATCH(dataforsankey!$Y206,'In-Use Stocks'!$M$80:$V$80,0))</f>
        <v>0</v>
      </c>
      <c r="AB206" s="177" t="s">
        <v>127</v>
      </c>
      <c r="AE206" s="177" t="s">
        <v>103</v>
      </c>
      <c r="AF206" s="177" t="s">
        <v>330</v>
      </c>
      <c r="AG206" s="178">
        <f>INDEX('In-Use Stocks'!$M$81:$V$97,MATCH(dataforsankey!$AB206,'In-Use Stocks'!$L$81:$L$97,0),MATCH(dataforsankey!$Y206,'In-Use Stocks'!$M$80:$V$80,0))</f>
        <v>0</v>
      </c>
      <c r="AH206" s="177" t="s">
        <v>127</v>
      </c>
    </row>
    <row r="207" spans="1:34" x14ac:dyDescent="0.2">
      <c r="A207" t="s">
        <v>82</v>
      </c>
      <c r="B207" t="s">
        <v>86</v>
      </c>
      <c r="C207" s="11">
        <f>INDEX(PlasticsUse!$B$94:$L$111,MATCH(dataforsankey!$A207,PlasticsUse!$A$94:$A$108,0),MATCH(dataforsankey!$B207,PlasticsUse!$B$93:$L$93,0))</f>
        <v>2.2757299574526351</v>
      </c>
      <c r="G207" t="str">
        <f t="shared" si="22"/>
        <v>Polyurethane</v>
      </c>
      <c r="H207" t="str">
        <f t="shared" si="23"/>
        <v>Other End Use Markets</v>
      </c>
      <c r="I207">
        <f t="shared" si="24"/>
        <v>2.2757299574526351</v>
      </c>
      <c r="J207" t="str">
        <f t="shared" si="25"/>
        <v>Polyurethane</v>
      </c>
      <c r="M207" t="s">
        <v>891</v>
      </c>
      <c r="N207" t="s">
        <v>103</v>
      </c>
      <c r="O207" s="11">
        <f>_xlfn.IFNA(INDEX('Imports - Products'!$B$24:$G$40,MATCH(dataforsankey!$P207,'Imports - Products'!$A$24:$A$40,0),MATCH(dataforsankey!$N207,'Imports - Products'!$B$23:$G$23,0)),0)*10^-6</f>
        <v>0</v>
      </c>
      <c r="P207" t="s">
        <v>575</v>
      </c>
      <c r="S207" t="s">
        <v>86</v>
      </c>
      <c r="T207" t="s">
        <v>330</v>
      </c>
      <c r="U207" s="11">
        <f t="shared" si="19"/>
        <v>1.9004609605610838</v>
      </c>
      <c r="V207" t="s">
        <v>127</v>
      </c>
      <c r="Y207" s="177" t="s">
        <v>86</v>
      </c>
      <c r="Z207" s="177" t="s">
        <v>330</v>
      </c>
      <c r="AA207" s="178">
        <f>INDEX('In-Use Stocks'!$M$81:$V$97,MATCH(dataforsankey!$AB207,'In-Use Stocks'!$L$81:$L$97,0),MATCH(dataforsankey!$Y207,'In-Use Stocks'!$M$80:$V$80,0))</f>
        <v>1.9004609605610838</v>
      </c>
      <c r="AB207" s="177" t="s">
        <v>127</v>
      </c>
      <c r="AE207" s="177" t="s">
        <v>86</v>
      </c>
      <c r="AF207" s="177" t="s">
        <v>330</v>
      </c>
      <c r="AG207" s="178">
        <f>INDEX('In-Use Stocks'!$M$81:$V$97,MATCH(dataforsankey!$AB207,'In-Use Stocks'!$L$81:$L$97,0),MATCH(dataforsankey!$Y207,'In-Use Stocks'!$M$80:$V$80,0))</f>
        <v>1.9004609605610838</v>
      </c>
      <c r="AH207" s="177" t="s">
        <v>127</v>
      </c>
    </row>
    <row r="208" spans="1:34" x14ac:dyDescent="0.2">
      <c r="A208" t="s">
        <v>82</v>
      </c>
      <c r="B208" t="s">
        <v>18</v>
      </c>
      <c r="C208" s="11">
        <f>INDEX(PlasticsUse!$B$94:$L$111,MATCH(dataforsankey!$A208,PlasticsUse!$A$94:$A$108,0),MATCH(dataforsankey!$B208,PlasticsUse!$B$93:$L$93,0))</f>
        <v>2.2757299574526351</v>
      </c>
      <c r="G208" t="str">
        <f t="shared" si="22"/>
        <v>Polyurethane</v>
      </c>
      <c r="H208" t="str">
        <f t="shared" si="23"/>
        <v>Exports</v>
      </c>
      <c r="I208">
        <f t="shared" si="24"/>
        <v>2.2757299574526351</v>
      </c>
      <c r="J208" t="str">
        <f t="shared" si="25"/>
        <v>Polyurethane</v>
      </c>
      <c r="M208" t="s">
        <v>891</v>
      </c>
      <c r="N208" t="s">
        <v>86</v>
      </c>
      <c r="O208" s="11">
        <f>_xlfn.IFNA(INDEX('Imports - Products'!$B$24:$G$40,MATCH(dataforsankey!$P208,'Imports - Products'!$A$24:$A$40,0),MATCH(dataforsankey!$N208,'Imports - Products'!$B$23:$G$23,0)),0)*10^-6</f>
        <v>0</v>
      </c>
      <c r="P208" t="s">
        <v>575</v>
      </c>
      <c r="S208" t="s">
        <v>38</v>
      </c>
      <c r="T208" t="s">
        <v>330</v>
      </c>
      <c r="U208" s="11">
        <f t="shared" si="19"/>
        <v>9.3451412386754112E-2</v>
      </c>
      <c r="V208" t="s">
        <v>8</v>
      </c>
      <c r="Y208" s="177" t="s">
        <v>38</v>
      </c>
      <c r="Z208" s="177" t="s">
        <v>330</v>
      </c>
      <c r="AA208" s="178">
        <f>INDEX('In-Use Stocks'!$M$81:$V$97,MATCH(dataforsankey!$AB208,'In-Use Stocks'!$L$81:$L$97,0),MATCH(dataforsankey!$Y208,'In-Use Stocks'!$M$80:$V$80,0))-SUMIFS($AA$732:$AA$749,$Y$732:$Y$749,$Y208,$AB$732:$AB$749,$AB208)</f>
        <v>9.345141238675414E-3</v>
      </c>
      <c r="AB208" s="177" t="s">
        <v>8</v>
      </c>
      <c r="AE208" s="177" t="s">
        <v>38</v>
      </c>
      <c r="AF208" s="177" t="s">
        <v>330</v>
      </c>
      <c r="AG208" s="178">
        <f>INDEX('In-Use Stocks'!$M$81:$V$97,MATCH(dataforsankey!$AB208,'In-Use Stocks'!$L$81:$L$97,0),MATCH(dataforsankey!$Y208,'In-Use Stocks'!$M$80:$V$80,0))</f>
        <v>9.3451412386754112E-2</v>
      </c>
      <c r="AH208" s="177" t="s">
        <v>8</v>
      </c>
    </row>
    <row r="209" spans="1:34" x14ac:dyDescent="0.2">
      <c r="A209" t="s">
        <v>38</v>
      </c>
      <c r="B209" t="s">
        <v>4</v>
      </c>
      <c r="C209">
        <f>SUMIFS('CompilationCalcs - EPA EOL'!$G$4:$G$264,'CompilationCalcs - EPA EOL'!$B$4:$B$264,$A209,'CompilationCalcs - EPA EOL'!$F$4:$F$264,$B209)</f>
        <v>0.17437699479844165</v>
      </c>
      <c r="G209" t="s">
        <v>38</v>
      </c>
      <c r="H209" t="s">
        <v>4</v>
      </c>
      <c r="I209">
        <f>SUMIFS('CompilationCalcs - EPA EOL'!$G$4:$G$264,'CompilationCalcs - EPA EOL'!$F$4:$F$264,dataforsankey!$H209,'CompilationCalcs - EPA EOL'!$A$4:$A$264,dataforsankey!$J209,'CompilationCalcs - EPA EOL'!$B$4:$B$264,dataforsankey!$G209)</f>
        <v>0</v>
      </c>
      <c r="J209" t="s">
        <v>0</v>
      </c>
      <c r="M209" t="s">
        <v>891</v>
      </c>
      <c r="N209" t="s">
        <v>18</v>
      </c>
      <c r="O209" s="11">
        <f>_xlfn.IFNA(INDEX('Imports - Products'!$B$24:$G$40,MATCH(dataforsankey!$P209,'Imports - Products'!$A$24:$A$40,0),MATCH(dataforsankey!$N209,'Imports - Products'!$B$23:$G$23,0)),0)*10^-6</f>
        <v>0</v>
      </c>
      <c r="P209" t="s">
        <v>575</v>
      </c>
      <c r="S209" t="s">
        <v>99</v>
      </c>
      <c r="T209" t="s">
        <v>330</v>
      </c>
      <c r="U209" s="11">
        <f t="shared" si="19"/>
        <v>0.22738327729673571</v>
      </c>
      <c r="V209" t="s">
        <v>8</v>
      </c>
      <c r="Y209" s="177" t="s">
        <v>99</v>
      </c>
      <c r="Z209" s="177" t="s">
        <v>330</v>
      </c>
      <c r="AA209" s="178">
        <f>INDEX('In-Use Stocks'!$M$81:$V$97,MATCH(dataforsankey!$AB209,'In-Use Stocks'!$L$81:$L$97,0),MATCH(dataforsankey!$Y209,'In-Use Stocks'!$M$80:$V$80,0))-SUMIFS($AA$732:$AA$749,$Y$732:$Y$749,$Y209,$AB$732:$AB$749,$AB209)</f>
        <v>2.2738327729673574E-2</v>
      </c>
      <c r="AB209" s="177" t="s">
        <v>8</v>
      </c>
      <c r="AE209" s="177" t="s">
        <v>99</v>
      </c>
      <c r="AF209" s="177" t="s">
        <v>330</v>
      </c>
      <c r="AG209" s="178">
        <f>INDEX('In-Use Stocks'!$M$81:$V$97,MATCH(dataforsankey!$AB209,'In-Use Stocks'!$L$81:$L$97,0),MATCH(dataforsankey!$Y209,'In-Use Stocks'!$M$80:$V$80,0))</f>
        <v>0.22738327729673571</v>
      </c>
      <c r="AH209" s="177" t="s">
        <v>8</v>
      </c>
    </row>
    <row r="210" spans="1:34" x14ac:dyDescent="0.2">
      <c r="A210" t="s">
        <v>38</v>
      </c>
      <c r="B210" t="s">
        <v>5</v>
      </c>
      <c r="C210">
        <f>SUMIFS('CompilationCalcs - EPA EOL'!$G$4:$G$264,'CompilationCalcs - EPA EOL'!$B$4:$B$264,$A210,'CompilationCalcs - EPA EOL'!$F$4:$F$264,$B210)</f>
        <v>8.2643125496891789E-3</v>
      </c>
      <c r="G210" t="s">
        <v>38</v>
      </c>
      <c r="H210" t="s">
        <v>4</v>
      </c>
      <c r="I210">
        <f>SUMIFS('CompilationCalcs - EPA EOL'!$G$4:$G$264,'CompilationCalcs - EPA EOL'!$F$4:$F$264,dataforsankey!$H210,'CompilationCalcs - EPA EOL'!$A$4:$A$264,dataforsankey!$J210,'CompilationCalcs - EPA EOL'!$B$4:$B$264,dataforsankey!$G210)</f>
        <v>0</v>
      </c>
      <c r="J210" t="s">
        <v>2</v>
      </c>
      <c r="M210" t="s">
        <v>872</v>
      </c>
      <c r="N210" t="s">
        <v>38</v>
      </c>
      <c r="O210">
        <f>INDEX(PlasticsDataCompilation!$D$20:$D$36,MATCH(dataforsankey!$P210,PlasticsDataCompilation!$A$20:$A$36,0),1)*INDEX(PlasticsUse!$B$27:$L$43,MATCH(dataforsankey!$P210,PlasticsUse!$A$27:$A$43,0),MATCH($N210,PlasticsUse!$B$26:$L$26,0))</f>
        <v>7.7699574526352202E-3</v>
      </c>
      <c r="P210" t="s">
        <v>82</v>
      </c>
      <c r="S210" t="s">
        <v>69</v>
      </c>
      <c r="T210" t="s">
        <v>335</v>
      </c>
      <c r="U210" s="11">
        <f t="shared" si="19"/>
        <v>0.4931261752575189</v>
      </c>
      <c r="V210" t="s">
        <v>8</v>
      </c>
      <c r="Y210" t="s">
        <v>69</v>
      </c>
      <c r="Z210" t="s">
        <v>335</v>
      </c>
      <c r="AA210" s="11">
        <f>SUMIFS($O$23:$O$953,$M$23:$M$953,Y210,$N$23:$N$953,Z210,$P$23:$P$953,AB210)</f>
        <v>0.4931261752575189</v>
      </c>
      <c r="AB210" t="s">
        <v>8</v>
      </c>
      <c r="AE210" t="s">
        <v>69</v>
      </c>
      <c r="AF210" t="s">
        <v>335</v>
      </c>
      <c r="AG210" s="11">
        <f>SUMIFS($O$23:$O$953,$M$23:$M$953,AE210,$N$23:$N$953,AF210,$P$23:$P$953,AH210)</f>
        <v>0.4931261752575189</v>
      </c>
      <c r="AH210" t="s">
        <v>8</v>
      </c>
    </row>
    <row r="211" spans="1:34" x14ac:dyDescent="0.2">
      <c r="A211" t="s">
        <v>38</v>
      </c>
      <c r="B211" t="s">
        <v>6</v>
      </c>
      <c r="C211">
        <f>SUMIFS('CompilationCalcs - EPA EOL'!$G$4:$G$264,'CompilationCalcs - EPA EOL'!$B$4:$B$264,$A211,'CompilationCalcs - EPA EOL'!$F$4:$F$264,$B211)</f>
        <v>3.5536543963663465E-2</v>
      </c>
      <c r="G211" t="s">
        <v>38</v>
      </c>
      <c r="H211" t="s">
        <v>4</v>
      </c>
      <c r="I211">
        <f>SUMIFS('CompilationCalcs - EPA EOL'!$G$4:$G$264,'CompilationCalcs - EPA EOL'!$F$4:$F$264,dataforsankey!$H211,'CompilationCalcs - EPA EOL'!$A$4:$A$264,dataforsankey!$J211,'CompilationCalcs - EPA EOL'!$B$4:$B$264,dataforsankey!$G211)</f>
        <v>4.6280150278259401E-2</v>
      </c>
      <c r="J211" t="s">
        <v>1</v>
      </c>
      <c r="M211" t="s">
        <v>872</v>
      </c>
      <c r="N211" t="s">
        <v>99</v>
      </c>
      <c r="O211">
        <f>INDEX(PlasticsDataCompilation!$D$20:$D$36,MATCH(dataforsankey!$P211,PlasticsDataCompilation!$A$20:$A$36,0),1)*INDEX(PlasticsUse!$B$27:$L$43,MATCH(dataforsankey!$P211,PlasticsUse!$A$27:$A$43,0),MATCH($N211,PlasticsUse!$B$26:$L$26,0))</f>
        <v>7.7699574526352202E-3</v>
      </c>
      <c r="P211" t="s">
        <v>82</v>
      </c>
      <c r="S211" t="s">
        <v>100</v>
      </c>
      <c r="T211" t="s">
        <v>330</v>
      </c>
      <c r="U211" s="11">
        <f t="shared" si="19"/>
        <v>0.18101112635101532</v>
      </c>
      <c r="V211" t="s">
        <v>8</v>
      </c>
      <c r="Y211" s="177" t="s">
        <v>100</v>
      </c>
      <c r="Z211" s="177" t="s">
        <v>330</v>
      </c>
      <c r="AA211" s="178">
        <f>INDEX('In-Use Stocks'!$M$81:$V$97,MATCH(dataforsankey!$AB211,'In-Use Stocks'!$L$81:$L$97,0),MATCH(dataforsankey!$Y211,'In-Use Stocks'!$M$80:$V$80,0))-SUMIFS($AA$732:$AA$749,$Y$732:$Y$749,$Y211,$AB$732:$AB$749,$AB211)</f>
        <v>1.8101112635101529E-2</v>
      </c>
      <c r="AB211" s="177" t="s">
        <v>8</v>
      </c>
      <c r="AE211" s="177" t="s">
        <v>100</v>
      </c>
      <c r="AF211" s="177" t="s">
        <v>330</v>
      </c>
      <c r="AG211" s="178">
        <f>INDEX('In-Use Stocks'!$M$81:$V$97,MATCH(dataforsankey!$AB211,'In-Use Stocks'!$L$81:$L$97,0),MATCH(dataforsankey!$Y211,'In-Use Stocks'!$M$80:$V$80,0))</f>
        <v>0.18101112635101532</v>
      </c>
      <c r="AH211" s="177" t="s">
        <v>8</v>
      </c>
    </row>
    <row r="212" spans="1:34" x14ac:dyDescent="0.2">
      <c r="A212" t="s">
        <v>99</v>
      </c>
      <c r="B212" t="s">
        <v>4</v>
      </c>
      <c r="C212">
        <f>SUMIFS('CompilationCalcs - EPA EOL'!$G$4:$G$264,'CompilationCalcs - EPA EOL'!$B$4:$B$264,$A212,'CompilationCalcs - EPA EOL'!$F$4:$F$264,$B212)</f>
        <v>0.17437699479844165</v>
      </c>
      <c r="G212" t="s">
        <v>38</v>
      </c>
      <c r="H212" t="s">
        <v>4</v>
      </c>
      <c r="I212">
        <f>SUMIFS('CompilationCalcs - EPA EOL'!$G$4:$G$264,'CompilationCalcs - EPA EOL'!$F$4:$F$264,dataforsankey!$H212,'CompilationCalcs - EPA EOL'!$A$4:$A$264,dataforsankey!$J212,'CompilationCalcs - EPA EOL'!$B$4:$B$264,dataforsankey!$G212)</f>
        <v>0</v>
      </c>
      <c r="J212" t="s">
        <v>7</v>
      </c>
      <c r="M212" t="s">
        <v>872</v>
      </c>
      <c r="N212" t="s">
        <v>69</v>
      </c>
      <c r="O212">
        <f>INDEX(PlasticsDataCompilation!$D$20:$D$36,MATCH(dataforsankey!$P212,PlasticsDataCompilation!$A$20:$A$36,0),1)*INDEX(PlasticsUse!$B$27:$L$43,MATCH(dataforsankey!$P212,PlasticsUse!$A$27:$A$43,0),MATCH($N212,PlasticsUse!$B$26:$L$26,0))</f>
        <v>7.7699574526352202E-3</v>
      </c>
      <c r="P212" t="s">
        <v>82</v>
      </c>
      <c r="S212" t="s">
        <v>39</v>
      </c>
      <c r="T212" t="s">
        <v>330</v>
      </c>
      <c r="U212" s="11">
        <f t="shared" si="19"/>
        <v>0.15043903319758822</v>
      </c>
      <c r="V212" t="s">
        <v>8</v>
      </c>
      <c r="Y212" s="177" t="s">
        <v>39</v>
      </c>
      <c r="Z212" s="177" t="s">
        <v>330</v>
      </c>
      <c r="AA212" s="178">
        <f>INDEX('In-Use Stocks'!$M$81:$V$97,MATCH(dataforsankey!$AB212,'In-Use Stocks'!$L$81:$L$97,0),MATCH(dataforsankey!$Y212,'In-Use Stocks'!$M$80:$V$80,0))-SUMIFS($AA$732:$AA$749,$Y$732:$Y$749,$Y212,$AB$732:$AB$749,$AB212)</f>
        <v>2.8917737318400472E-2</v>
      </c>
      <c r="AB212" s="177" t="s">
        <v>8</v>
      </c>
      <c r="AE212" s="177" t="s">
        <v>39</v>
      </c>
      <c r="AF212" s="177" t="s">
        <v>330</v>
      </c>
      <c r="AG212" s="178">
        <f>INDEX('In-Use Stocks'!$M$81:$V$97,MATCH(dataforsankey!$AB212,'In-Use Stocks'!$L$81:$L$97,0),MATCH(dataforsankey!$Y212,'In-Use Stocks'!$M$80:$V$80,0))</f>
        <v>0.28917737318400488</v>
      </c>
      <c r="AH212" s="177" t="s">
        <v>8</v>
      </c>
    </row>
    <row r="213" spans="1:34" x14ac:dyDescent="0.2">
      <c r="A213" t="s">
        <v>99</v>
      </c>
      <c r="B213" t="s">
        <v>5</v>
      </c>
      <c r="C213">
        <f>SUMIFS('CompilationCalcs - EPA EOL'!$G$4:$G$264,'CompilationCalcs - EPA EOL'!$B$4:$B$264,$A213,'CompilationCalcs - EPA EOL'!$F$4:$F$264,$B213)</f>
        <v>8.2643125496891789E-3</v>
      </c>
      <c r="G213" t="s">
        <v>38</v>
      </c>
      <c r="H213" t="s">
        <v>4</v>
      </c>
      <c r="I213">
        <f>SUMIFS('CompilationCalcs - EPA EOL'!$G$4:$G$264,'CompilationCalcs - EPA EOL'!$F$4:$F$264,dataforsankey!$H213,'CompilationCalcs - EPA EOL'!$A$4:$A$264,dataforsankey!$J213,'CompilationCalcs - EPA EOL'!$B$4:$B$264,dataforsankey!$G213)</f>
        <v>3.0577956433849963E-2</v>
      </c>
      <c r="J213" t="s">
        <v>8</v>
      </c>
      <c r="M213" t="s">
        <v>872</v>
      </c>
      <c r="N213" t="s">
        <v>100</v>
      </c>
      <c r="O213">
        <f>INDEX(PlasticsDataCompilation!$D$20:$D$36,MATCH(dataforsankey!$P213,PlasticsDataCompilation!$A$20:$A$36,0),1)*INDEX(PlasticsUse!$B$27:$L$43,MATCH(dataforsankey!$P213,PlasticsUse!$A$27:$A$43,0),MATCH($N213,PlasticsUse!$B$26:$L$26,0))</f>
        <v>7.7699574526352202E-3</v>
      </c>
      <c r="P213" t="s">
        <v>82</v>
      </c>
      <c r="S213" t="s">
        <v>68</v>
      </c>
      <c r="T213" t="s">
        <v>330</v>
      </c>
      <c r="U213" s="11">
        <f t="shared" si="19"/>
        <v>0.25692173854078176</v>
      </c>
      <c r="V213" t="s">
        <v>8</v>
      </c>
      <c r="Y213" s="177" t="s">
        <v>68</v>
      </c>
      <c r="Z213" s="177" t="s">
        <v>330</v>
      </c>
      <c r="AA213" s="178">
        <f>INDEX('In-Use Stocks'!$M$81:$V$97,MATCH(dataforsankey!$AB213,'In-Use Stocks'!$L$81:$L$97,0),MATCH(dataforsankey!$Y213,'In-Use Stocks'!$M$80:$V$80,0))-SUMIFS($AA$732:$AA$749,$Y$732:$Y$749,$Y213,$AB$732:$AB$749,$AB213)</f>
        <v>2.5692173854078182E-2</v>
      </c>
      <c r="AB213" s="177" t="s">
        <v>8</v>
      </c>
      <c r="AE213" s="177" t="s">
        <v>68</v>
      </c>
      <c r="AF213" s="177" t="s">
        <v>330</v>
      </c>
      <c r="AG213" s="178">
        <f>INDEX('In-Use Stocks'!$M$81:$V$97,MATCH(dataforsankey!$AB213,'In-Use Stocks'!$L$81:$L$97,0),MATCH(dataforsankey!$Y213,'In-Use Stocks'!$M$80:$V$80,0))</f>
        <v>0.25692173854078176</v>
      </c>
      <c r="AH213" s="177" t="s">
        <v>8</v>
      </c>
    </row>
    <row r="214" spans="1:34" x14ac:dyDescent="0.2">
      <c r="A214" t="s">
        <v>99</v>
      </c>
      <c r="B214" t="s">
        <v>6</v>
      </c>
      <c r="C214">
        <f>SUMIFS('CompilationCalcs - EPA EOL'!$G$4:$G$264,'CompilationCalcs - EPA EOL'!$B$4:$B$264,$A214,'CompilationCalcs - EPA EOL'!$F$4:$F$264,$B214)</f>
        <v>3.5536543963663465E-2</v>
      </c>
      <c r="G214" t="s">
        <v>38</v>
      </c>
      <c r="H214" t="s">
        <v>4</v>
      </c>
      <c r="I214">
        <f>SUMIFS('CompilationCalcs - EPA EOL'!$G$4:$G$264,'CompilationCalcs - EPA EOL'!$F$4:$F$264,dataforsankey!$H214,'CompilationCalcs - EPA EOL'!$A$4:$A$264,dataforsankey!$J214,'CompilationCalcs - EPA EOL'!$B$4:$B$264,dataforsankey!$G214)</f>
        <v>0</v>
      </c>
      <c r="J214" t="s">
        <v>9</v>
      </c>
      <c r="M214" t="s">
        <v>872</v>
      </c>
      <c r="N214" t="s">
        <v>39</v>
      </c>
      <c r="O214">
        <f>INDEX(PlasticsDataCompilation!$D$20:$D$36,MATCH(dataforsankey!$P214,PlasticsDataCompilation!$A$20:$A$36,0),1)*INDEX(PlasticsUse!$B$27:$L$43,MATCH(dataforsankey!$P214,PlasticsUse!$A$27:$A$43,0),MATCH($N214,PlasticsUse!$B$26:$L$26,0))</f>
        <v>7.7699574526352202E-3</v>
      </c>
      <c r="P214" t="s">
        <v>82</v>
      </c>
      <c r="S214" t="s">
        <v>63</v>
      </c>
      <c r="T214" t="s">
        <v>330</v>
      </c>
      <c r="U214" s="11">
        <f t="shared" si="19"/>
        <v>0.23510479532874518</v>
      </c>
      <c r="V214" t="s">
        <v>8</v>
      </c>
      <c r="Y214" s="177" t="s">
        <v>63</v>
      </c>
      <c r="Z214" s="177" t="s">
        <v>330</v>
      </c>
      <c r="AA214" s="178">
        <f>INDEX('In-Use Stocks'!$M$81:$V$97,MATCH(dataforsankey!$AB214,'In-Use Stocks'!$L$81:$L$97,0),MATCH(dataforsankey!$Y214,'In-Use Stocks'!$M$80:$V$80,0))-SUMIFS($AA$732:$AA$749,$Y$732:$Y$749,$Y214,$AB$732:$AB$749,$AB214)</f>
        <v>2.3510479532874495E-2</v>
      </c>
      <c r="AB214" s="177" t="s">
        <v>8</v>
      </c>
      <c r="AE214" s="177" t="s">
        <v>63</v>
      </c>
      <c r="AF214" s="177" t="s">
        <v>330</v>
      </c>
      <c r="AG214" s="178">
        <f>INDEX('In-Use Stocks'!$M$81:$V$97,MATCH(dataforsankey!$AB214,'In-Use Stocks'!$L$81:$L$97,0),MATCH(dataforsankey!$Y214,'In-Use Stocks'!$M$80:$V$80,0))</f>
        <v>0.23510479532874518</v>
      </c>
      <c r="AH214" s="177" t="s">
        <v>8</v>
      </c>
    </row>
    <row r="215" spans="1:34" x14ac:dyDescent="0.2">
      <c r="A215" t="s">
        <v>69</v>
      </c>
      <c r="B215" t="s">
        <v>4</v>
      </c>
      <c r="C215">
        <f>SUMIFS('CompilationCalcs - EPA EOL'!$G$4:$G$264,'CompilationCalcs - EPA EOL'!$B$4:$B$264,$A215,'CompilationCalcs - EPA EOL'!$F$4:$F$264,$B215)</f>
        <v>0.17437699479844165</v>
      </c>
      <c r="G215" t="s">
        <v>38</v>
      </c>
      <c r="H215" t="s">
        <v>4</v>
      </c>
      <c r="I215">
        <f>SUMIFS('CompilationCalcs - EPA EOL'!$G$4:$G$264,'CompilationCalcs - EPA EOL'!$F$4:$F$264,dataforsankey!$H215,'CompilationCalcs - EPA EOL'!$A$4:$A$264,dataforsankey!$J215,'CompilationCalcs - EPA EOL'!$B$4:$B$264,dataforsankey!$G215)</f>
        <v>4.1321562748445895E-3</v>
      </c>
      <c r="J215" t="s">
        <v>10</v>
      </c>
      <c r="M215" t="s">
        <v>872</v>
      </c>
      <c r="N215" t="s">
        <v>68</v>
      </c>
      <c r="O215">
        <f>INDEX(PlasticsDataCompilation!$D$20:$D$36,MATCH(dataforsankey!$P215,PlasticsDataCompilation!$A$20:$A$36,0),1)*INDEX(PlasticsUse!$B$27:$L$43,MATCH(dataforsankey!$P215,PlasticsUse!$A$27:$A$43,0),MATCH($N215,PlasticsUse!$B$26:$L$26,0))</f>
        <v>7.7699574526352202E-3</v>
      </c>
      <c r="P215" t="s">
        <v>82</v>
      </c>
      <c r="S215" t="s">
        <v>92</v>
      </c>
      <c r="T215" t="s">
        <v>330</v>
      </c>
      <c r="U215" s="11">
        <f t="shared" ref="U215:U278" si="28">SUMIFS($O$23:$O$935,$M$23:$M$935,S215,$N$23:$N$935,T215,$P$23:$P$935,V215)</f>
        <v>0.20341265240171966</v>
      </c>
      <c r="V215" t="s">
        <v>8</v>
      </c>
      <c r="Y215" s="177" t="s">
        <v>92</v>
      </c>
      <c r="Z215" s="177" t="s">
        <v>330</v>
      </c>
      <c r="AA215" s="178">
        <f>INDEX('In-Use Stocks'!$M$81:$V$97,MATCH(dataforsankey!$AB215,'In-Use Stocks'!$L$81:$L$97,0),MATCH(dataforsankey!$Y215,'In-Use Stocks'!$M$80:$V$80,0))-SUMIFS($AA$732:$AA$749,$Y$732:$Y$749,$Y215,$AB$732:$AB$749,$AB215)</f>
        <v>2.0341265240171963E-2</v>
      </c>
      <c r="AB215" s="177" t="s">
        <v>8</v>
      </c>
      <c r="AE215" s="177" t="s">
        <v>92</v>
      </c>
      <c r="AF215" s="177" t="s">
        <v>330</v>
      </c>
      <c r="AG215" s="178">
        <f>INDEX('In-Use Stocks'!$M$81:$V$97,MATCH(dataforsankey!$AB215,'In-Use Stocks'!$L$81:$L$97,0),MATCH(dataforsankey!$Y215,'In-Use Stocks'!$M$80:$V$80,0))</f>
        <v>0.20341265240171966</v>
      </c>
      <c r="AH215" s="177" t="s">
        <v>8</v>
      </c>
    </row>
    <row r="216" spans="1:34" x14ac:dyDescent="0.2">
      <c r="A216" t="s">
        <v>69</v>
      </c>
      <c r="B216" t="s">
        <v>5</v>
      </c>
      <c r="C216">
        <f>SUMIFS('CompilationCalcs - EPA EOL'!$G$4:$G$264,'CompilationCalcs - EPA EOL'!$B$4:$B$264,$A216,'CompilationCalcs - EPA EOL'!$F$4:$F$264,$B216)</f>
        <v>8.2643125496891789E-3</v>
      </c>
      <c r="G216" t="s">
        <v>38</v>
      </c>
      <c r="H216" t="s">
        <v>4</v>
      </c>
      <c r="I216">
        <f>SUMIFS('CompilationCalcs - EPA EOL'!$G$4:$G$264,'CompilationCalcs - EPA EOL'!$F$4:$F$264,dataforsankey!$H216,'CompilationCalcs - EPA EOL'!$A$4:$A$264,dataforsankey!$J216,'CompilationCalcs - EPA EOL'!$B$4:$B$264,dataforsankey!$G216)</f>
        <v>1.6528625099378356E-3</v>
      </c>
      <c r="J216" t="s">
        <v>11</v>
      </c>
      <c r="M216" t="s">
        <v>872</v>
      </c>
      <c r="N216" t="s">
        <v>63</v>
      </c>
      <c r="O216">
        <f>INDEX(PlasticsDataCompilation!$D$20:$D$36,MATCH(dataforsankey!$P216,PlasticsDataCompilation!$A$20:$A$36,0),1)*INDEX(PlasticsUse!$B$27:$L$43,MATCH(dataforsankey!$P216,PlasticsUse!$A$27:$A$43,0),MATCH($N216,PlasticsUse!$B$26:$L$26,0))</f>
        <v>7.7699574526352202E-3</v>
      </c>
      <c r="P216" t="s">
        <v>82</v>
      </c>
      <c r="S216" t="s">
        <v>103</v>
      </c>
      <c r="T216" t="s">
        <v>330</v>
      </c>
      <c r="U216" s="11">
        <f t="shared" si="28"/>
        <v>0</v>
      </c>
      <c r="V216" t="s">
        <v>8</v>
      </c>
      <c r="Y216" s="177" t="s">
        <v>103</v>
      </c>
      <c r="Z216" s="177" t="s">
        <v>330</v>
      </c>
      <c r="AA216" s="178">
        <f>INDEX('In-Use Stocks'!$M$81:$V$97,MATCH(dataforsankey!$AB216,'In-Use Stocks'!$L$81:$L$97,0),MATCH(dataforsankey!$Y216,'In-Use Stocks'!$M$80:$V$80,0))-SUMIFS($AA$732:$AA$749,$Y$732:$Y$749,$Y216,$AB$732:$AB$749,$AB216)</f>
        <v>0</v>
      </c>
      <c r="AB216" s="177" t="s">
        <v>8</v>
      </c>
      <c r="AE216" s="177" t="s">
        <v>103</v>
      </c>
      <c r="AF216" s="177" t="s">
        <v>330</v>
      </c>
      <c r="AG216" s="178">
        <f>INDEX('In-Use Stocks'!$M$81:$V$97,MATCH(dataforsankey!$AB216,'In-Use Stocks'!$L$81:$L$97,0),MATCH(dataforsankey!$Y216,'In-Use Stocks'!$M$80:$V$80,0))</f>
        <v>0</v>
      </c>
      <c r="AH216" s="177" t="s">
        <v>8</v>
      </c>
    </row>
    <row r="217" spans="1:34" x14ac:dyDescent="0.2">
      <c r="A217" t="s">
        <v>69</v>
      </c>
      <c r="B217" t="s">
        <v>6</v>
      </c>
      <c r="C217">
        <f>SUMIFS('CompilationCalcs - EPA EOL'!$G$4:$G$264,'CompilationCalcs - EPA EOL'!$B$4:$B$264,$A217,'CompilationCalcs - EPA EOL'!$F$4:$F$264,$B217)</f>
        <v>3.5536543963663465E-2</v>
      </c>
      <c r="G217" t="s">
        <v>38</v>
      </c>
      <c r="H217" t="s">
        <v>4</v>
      </c>
      <c r="I217">
        <f>SUMIFS('CompilationCalcs - EPA EOL'!$G$4:$G$264,'CompilationCalcs - EPA EOL'!$F$4:$F$264,dataforsankey!$H217,'CompilationCalcs - EPA EOL'!$A$4:$A$264,dataforsankey!$J217,'CompilationCalcs - EPA EOL'!$B$4:$B$264,dataforsankey!$G217)</f>
        <v>0</v>
      </c>
      <c r="J217" t="s">
        <v>127</v>
      </c>
      <c r="M217" t="s">
        <v>872</v>
      </c>
      <c r="N217" t="s">
        <v>92</v>
      </c>
      <c r="O217">
        <f>INDEX(PlasticsDataCompilation!$D$20:$D$36,MATCH(dataforsankey!$P217,PlasticsDataCompilation!$A$20:$A$36,0),1)*INDEX(PlasticsUse!$B$27:$L$43,MATCH(dataforsankey!$P217,PlasticsUse!$A$27:$A$43,0),MATCH($N217,PlasticsUse!$B$26:$L$26,0))</f>
        <v>7.7699574526352202E-3</v>
      </c>
      <c r="P217" t="s">
        <v>82</v>
      </c>
      <c r="S217" t="s">
        <v>86</v>
      </c>
      <c r="T217" t="s">
        <v>330</v>
      </c>
      <c r="U217" s="11">
        <f t="shared" si="28"/>
        <v>0.20341265240171966</v>
      </c>
      <c r="V217" t="s">
        <v>8</v>
      </c>
      <c r="Y217" s="177" t="s">
        <v>86</v>
      </c>
      <c r="Z217" s="177" t="s">
        <v>330</v>
      </c>
      <c r="AA217" s="178">
        <f>INDEX('In-Use Stocks'!$M$81:$V$97,MATCH(dataforsankey!$AB217,'In-Use Stocks'!$L$81:$L$97,0),MATCH(dataforsankey!$Y217,'In-Use Stocks'!$M$80:$V$80,0))-SUMIFS($AA$732:$AA$749,$Y$732:$Y$749,$Y217,$AB$732:$AB$749,$AB217)</f>
        <v>2.0341265240171963E-2</v>
      </c>
      <c r="AB217" s="177" t="s">
        <v>8</v>
      </c>
      <c r="AE217" s="177" t="s">
        <v>86</v>
      </c>
      <c r="AF217" s="177" t="s">
        <v>330</v>
      </c>
      <c r="AG217" s="178">
        <f>INDEX('In-Use Stocks'!$M$81:$V$97,MATCH(dataforsankey!$AB217,'In-Use Stocks'!$L$81:$L$97,0),MATCH(dataforsankey!$Y217,'In-Use Stocks'!$M$80:$V$80,0))</f>
        <v>0.20341265240171966</v>
      </c>
      <c r="AH217" s="177" t="s">
        <v>8</v>
      </c>
    </row>
    <row r="218" spans="1:34" x14ac:dyDescent="0.2">
      <c r="A218" t="s">
        <v>100</v>
      </c>
      <c r="B218" t="s">
        <v>4</v>
      </c>
      <c r="C218">
        <f>SUMIFS('CompilationCalcs - EPA EOL'!$G$4:$G$264,'CompilationCalcs - EPA EOL'!$B$4:$B$264,$A218,'CompilationCalcs - EPA EOL'!$F$4:$F$264,$B218)</f>
        <v>0.17437699479844165</v>
      </c>
      <c r="G218" t="s">
        <v>38</v>
      </c>
      <c r="H218" t="s">
        <v>4</v>
      </c>
      <c r="I218">
        <f>SUMIFS('CompilationCalcs - EPA EOL'!$G$4:$G$264,'CompilationCalcs - EPA EOL'!$F$4:$F$264,dataforsankey!$H218,'CompilationCalcs - EPA EOL'!$A$4:$A$264,dataforsankey!$J218,'CompilationCalcs - EPA EOL'!$B$4:$B$264,dataforsankey!$G218)</f>
        <v>0</v>
      </c>
      <c r="J218" t="s">
        <v>122</v>
      </c>
      <c r="M218" t="s">
        <v>872</v>
      </c>
      <c r="N218" t="s">
        <v>103</v>
      </c>
      <c r="O218">
        <f>INDEX(PlasticsDataCompilation!$D$20:$D$36,MATCH(dataforsankey!$P218,PlasticsDataCompilation!$A$20:$A$36,0),1)*INDEX(PlasticsUse!$B$27:$L$43,MATCH(dataforsankey!$P218,PlasticsUse!$A$27:$A$43,0),MATCH($N218,PlasticsUse!$B$26:$L$26,0))</f>
        <v>7.7699574526352202E-3</v>
      </c>
      <c r="P218" t="s">
        <v>82</v>
      </c>
      <c r="S218" t="s">
        <v>38</v>
      </c>
      <c r="T218" t="s">
        <v>330</v>
      </c>
      <c r="U218" s="11">
        <f t="shared" si="28"/>
        <v>8.1089677402414878E-2</v>
      </c>
      <c r="V218" t="s">
        <v>19</v>
      </c>
      <c r="Y218" s="177" t="s">
        <v>38</v>
      </c>
      <c r="Z218" s="177" t="s">
        <v>330</v>
      </c>
      <c r="AA218" s="178">
        <f>INDEX('In-Use Stocks'!$M$81:$V$97,MATCH(dataforsankey!$AB218,'In-Use Stocks'!$L$81:$L$97,0),MATCH(dataforsankey!$Y218,'In-Use Stocks'!$M$80:$V$80,0))-SUMIFS($AA$732:$AA$749,$Y$732:$Y$749,$Y218,$AB$732:$AB$749,$AB218)</f>
        <v>8.1089677402414878E-3</v>
      </c>
      <c r="AB218" s="177" t="s">
        <v>19</v>
      </c>
      <c r="AE218" s="177" t="s">
        <v>38</v>
      </c>
      <c r="AF218" s="177" t="s">
        <v>330</v>
      </c>
      <c r="AG218" s="178">
        <f>INDEX('In-Use Stocks'!$M$81:$V$97,MATCH(dataforsankey!$AB218,'In-Use Stocks'!$L$81:$L$97,0),MATCH(dataforsankey!$Y218,'In-Use Stocks'!$M$80:$V$80,0))</f>
        <v>8.1089677402414878E-2</v>
      </c>
      <c r="AH218" s="177" t="s">
        <v>19</v>
      </c>
    </row>
    <row r="219" spans="1:34" x14ac:dyDescent="0.2">
      <c r="A219" t="s">
        <v>100</v>
      </c>
      <c r="B219" t="s">
        <v>5</v>
      </c>
      <c r="C219">
        <f>SUMIFS('CompilationCalcs - EPA EOL'!$G$4:$G$264,'CompilationCalcs - EPA EOL'!$B$4:$B$264,$A219,'CompilationCalcs - EPA EOL'!$F$4:$F$264,$B219)</f>
        <v>8.2643125496891789E-3</v>
      </c>
      <c r="G219" t="s">
        <v>38</v>
      </c>
      <c r="H219" t="s">
        <v>4</v>
      </c>
      <c r="I219">
        <f>SUMIFS('CompilationCalcs - EPA EOL'!$G$4:$G$264,'CompilationCalcs - EPA EOL'!$F$4:$F$264,dataforsankey!$H219,'CompilationCalcs - EPA EOL'!$A$4:$A$264,dataforsankey!$J219,'CompilationCalcs - EPA EOL'!$B$4:$B$264,dataforsankey!$G219)</f>
        <v>9.1733869301549878E-2</v>
      </c>
      <c r="J219" t="s">
        <v>82</v>
      </c>
      <c r="M219" t="s">
        <v>872</v>
      </c>
      <c r="N219" t="s">
        <v>86</v>
      </c>
      <c r="O219">
        <f>INDEX(PlasticsDataCompilation!$D$20:$D$36,MATCH(dataforsankey!$P219,PlasticsDataCompilation!$A$20:$A$36,0),1)*INDEX(PlasticsUse!$B$27:$L$43,MATCH(dataforsankey!$P219,PlasticsUse!$A$27:$A$43,0),MATCH($N219,PlasticsUse!$B$26:$L$26,0))</f>
        <v>7.7699574526352202E-3</v>
      </c>
      <c r="P219" t="s">
        <v>82</v>
      </c>
      <c r="S219" t="s">
        <v>99</v>
      </c>
      <c r="T219" t="s">
        <v>330</v>
      </c>
      <c r="U219" s="11">
        <f t="shared" si="28"/>
        <v>0.19730506079873464</v>
      </c>
      <c r="V219" t="s">
        <v>19</v>
      </c>
      <c r="Y219" s="177" t="s">
        <v>99</v>
      </c>
      <c r="Z219" s="177" t="s">
        <v>330</v>
      </c>
      <c r="AA219" s="178">
        <f>INDEX('In-Use Stocks'!$M$81:$V$97,MATCH(dataforsankey!$AB219,'In-Use Stocks'!$L$81:$L$97,0),MATCH(dataforsankey!$Y219,'In-Use Stocks'!$M$80:$V$80,0))-SUMIFS($AA$732:$AA$749,$Y$732:$Y$749,$Y219,$AB$732:$AB$749,$AB219)</f>
        <v>1.973050607987345E-2</v>
      </c>
      <c r="AB219" s="177" t="s">
        <v>19</v>
      </c>
      <c r="AE219" s="177" t="s">
        <v>99</v>
      </c>
      <c r="AF219" s="177" t="s">
        <v>330</v>
      </c>
      <c r="AG219" s="178">
        <f>INDEX('In-Use Stocks'!$M$81:$V$97,MATCH(dataforsankey!$AB219,'In-Use Stocks'!$L$81:$L$97,0),MATCH(dataforsankey!$Y219,'In-Use Stocks'!$M$80:$V$80,0))</f>
        <v>0.19730506079873464</v>
      </c>
      <c r="AH219" s="177" t="s">
        <v>19</v>
      </c>
    </row>
    <row r="220" spans="1:34" x14ac:dyDescent="0.2">
      <c r="A220" t="s">
        <v>100</v>
      </c>
      <c r="B220" t="s">
        <v>6</v>
      </c>
      <c r="C220">
        <f>SUMIFS('CompilationCalcs - EPA EOL'!$G$4:$G$264,'CompilationCalcs - EPA EOL'!$B$4:$B$264,$A220,'CompilationCalcs - EPA EOL'!$F$4:$F$264,$B220)</f>
        <v>3.5536543963663465E-2</v>
      </c>
      <c r="G220" t="s">
        <v>38</v>
      </c>
      <c r="H220" t="s">
        <v>5</v>
      </c>
      <c r="I220">
        <f>SUMIFS('CompilationCalcs - EPA EOL'!$G$4:$G$264,'CompilationCalcs - EPA EOL'!$F$4:$F$264,dataforsankey!$H220,'CompilationCalcs - EPA EOL'!$A$4:$A$264,dataforsankey!$J220,'CompilationCalcs - EPA EOL'!$B$4:$B$264,dataforsankey!$G220)</f>
        <v>0</v>
      </c>
      <c r="J220" t="s">
        <v>0</v>
      </c>
      <c r="M220" t="s">
        <v>872</v>
      </c>
      <c r="N220" t="s">
        <v>18</v>
      </c>
      <c r="O220">
        <f>INDEX(PlasticsDataCompilation!$D$20:$D$36,MATCH(dataforsankey!$P220,PlasticsDataCompilation!$A$20:$A$36,0),1)*INDEX(PlasticsUse!$B$27:$L$43,MATCH(dataforsankey!$P220,PlasticsUse!$A$27:$A$43,0),MATCH($N220,PlasticsUse!$B$26:$L$26,0))</f>
        <v>7.7699574526352202E-3</v>
      </c>
      <c r="P220" t="s">
        <v>82</v>
      </c>
      <c r="S220" t="s">
        <v>69</v>
      </c>
      <c r="T220" t="s">
        <v>335</v>
      </c>
      <c r="U220" s="11">
        <f t="shared" si="28"/>
        <v>0.21394776948275829</v>
      </c>
      <c r="V220" t="s">
        <v>19</v>
      </c>
      <c r="Y220" t="s">
        <v>69</v>
      </c>
      <c r="Z220" t="s">
        <v>335</v>
      </c>
      <c r="AA220" s="11">
        <f>SUMIFS($O$23:$O$953,$M$23:$M$953,Y220,$N$23:$N$953,Z220,$P$23:$P$953,AB220)</f>
        <v>0.21394776948275829</v>
      </c>
      <c r="AB220" t="s">
        <v>19</v>
      </c>
      <c r="AE220" t="s">
        <v>69</v>
      </c>
      <c r="AF220" t="s">
        <v>335</v>
      </c>
      <c r="AG220" s="11">
        <f>SUMIFS($O$23:$O$953,$M$23:$M$953,AE220,$N$23:$N$953,AF220,$P$23:$P$953,AH220)</f>
        <v>0.21394776948275829</v>
      </c>
      <c r="AH220" t="s">
        <v>19</v>
      </c>
    </row>
    <row r="221" spans="1:34" x14ac:dyDescent="0.2">
      <c r="A221" t="s">
        <v>39</v>
      </c>
      <c r="B221" t="s">
        <v>4</v>
      </c>
      <c r="C221">
        <f>SUMIFS('CompilationCalcs - EPA EOL'!$G$4:$G$264,'CompilationCalcs - EPA EOL'!$B$4:$B$264,$A221,'CompilationCalcs - EPA EOL'!$F$4:$F$264,$B221)</f>
        <v>0.88799517661662331</v>
      </c>
      <c r="G221" t="s">
        <v>38</v>
      </c>
      <c r="H221" t="s">
        <v>5</v>
      </c>
      <c r="I221">
        <f>SUMIFS('CompilationCalcs - EPA EOL'!$G$4:$G$264,'CompilationCalcs - EPA EOL'!$F$4:$F$264,dataforsankey!$H221,'CompilationCalcs - EPA EOL'!$A$4:$A$264,dataforsankey!$J221,'CompilationCalcs - EPA EOL'!$B$4:$B$264,dataforsankey!$G221)</f>
        <v>0</v>
      </c>
      <c r="J221" t="s">
        <v>2</v>
      </c>
      <c r="M221" t="s">
        <v>872</v>
      </c>
      <c r="N221" t="s">
        <v>38</v>
      </c>
      <c r="O221">
        <f>INDEX(PlasticsDataCompilation!$D$20:$D$36,MATCH(dataforsankey!$P221,PlasticsDataCompilation!$A$20:$A$36,0),1)*INDEX(PlasticsUse!$B$27:$L$43,MATCH(dataforsankey!$P221,PlasticsUse!$A$27:$A$43,0),MATCH($N221,PlasticsUse!$B$26:$L$26,0))</f>
        <v>0</v>
      </c>
      <c r="P221" t="s">
        <v>127</v>
      </c>
      <c r="S221" t="s">
        <v>100</v>
      </c>
      <c r="T221" t="s">
        <v>330</v>
      </c>
      <c r="U221" s="11">
        <f t="shared" si="28"/>
        <v>0.15706700912454141</v>
      </c>
      <c r="V221" t="s">
        <v>19</v>
      </c>
      <c r="Y221" s="177" t="s">
        <v>100</v>
      </c>
      <c r="Z221" s="177" t="s">
        <v>330</v>
      </c>
      <c r="AA221" s="178">
        <f>INDEX('In-Use Stocks'!$M$81:$V$97,MATCH(dataforsankey!$AB221,'In-Use Stocks'!$L$81:$L$97,0),MATCH(dataforsankey!$Y221,'In-Use Stocks'!$M$80:$V$80,0))-SUMIFS($AA$732:$AA$749,$Y$732:$Y$749,$Y221,$AB$732:$AB$749,$AB221)</f>
        <v>1.570670091245413E-2</v>
      </c>
      <c r="AB221" s="177" t="s">
        <v>19</v>
      </c>
      <c r="AE221" s="177" t="s">
        <v>100</v>
      </c>
      <c r="AF221" s="177" t="s">
        <v>330</v>
      </c>
      <c r="AG221" s="178">
        <f>INDEX('In-Use Stocks'!$M$81:$V$97,MATCH(dataforsankey!$AB221,'In-Use Stocks'!$L$81:$L$97,0),MATCH(dataforsankey!$Y221,'In-Use Stocks'!$M$80:$V$80,0))</f>
        <v>0.15706700912454141</v>
      </c>
      <c r="AH221" s="177" t="s">
        <v>19</v>
      </c>
    </row>
    <row r="222" spans="1:34" x14ac:dyDescent="0.2">
      <c r="A222" t="s">
        <v>39</v>
      </c>
      <c r="B222" t="s">
        <v>5</v>
      </c>
      <c r="C222">
        <f>SUMIFS('CompilationCalcs - EPA EOL'!$G$4:$G$264,'CompilationCalcs - EPA EOL'!$B$4:$B$264,$A222,'CompilationCalcs - EPA EOL'!$F$4:$F$264,$B222)</f>
        <v>0.3286643125496892</v>
      </c>
      <c r="G222" t="s">
        <v>38</v>
      </c>
      <c r="H222" t="s">
        <v>5</v>
      </c>
      <c r="I222">
        <f>SUMIFS('CompilationCalcs - EPA EOL'!$G$4:$G$264,'CompilationCalcs - EPA EOL'!$F$4:$F$264,dataforsankey!$H222,'CompilationCalcs - EPA EOL'!$A$4:$A$264,dataforsankey!$J222,'CompilationCalcs - EPA EOL'!$B$4:$B$264,dataforsankey!$G222)</f>
        <v>8.2643125496891789E-3</v>
      </c>
      <c r="J222" t="s">
        <v>1</v>
      </c>
      <c r="M222" t="s">
        <v>872</v>
      </c>
      <c r="N222" t="s">
        <v>99</v>
      </c>
      <c r="O222">
        <f>INDEX(PlasticsDataCompilation!$D$20:$D$36,MATCH(dataforsankey!$P222,PlasticsDataCompilation!$A$20:$A$36,0),1)*INDEX(PlasticsUse!$B$27:$L$43,MATCH(dataforsankey!$P222,PlasticsUse!$A$27:$A$43,0),MATCH($N222,PlasticsUse!$B$26:$L$26,0))</f>
        <v>0</v>
      </c>
      <c r="P222" t="s">
        <v>127</v>
      </c>
      <c r="S222" t="s">
        <v>39</v>
      </c>
      <c r="T222" t="s">
        <v>330</v>
      </c>
      <c r="U222" s="11">
        <f t="shared" si="28"/>
        <v>0.13053898661517407</v>
      </c>
      <c r="V222" t="s">
        <v>19</v>
      </c>
      <c r="Y222" s="177" t="s">
        <v>39</v>
      </c>
      <c r="Z222" s="177" t="s">
        <v>330</v>
      </c>
      <c r="AA222" s="178">
        <f>INDEX('In-Use Stocks'!$M$81:$V$97,MATCH(dataforsankey!$AB222,'In-Use Stocks'!$L$81:$L$97,0),MATCH(dataforsankey!$Y222,'In-Use Stocks'!$M$80:$V$80,0))-SUMIFS($AA$732:$AA$749,$Y$732:$Y$749,$Y222,$AB$732:$AB$749,$AB222)</f>
        <v>2.5092504548269834E-2</v>
      </c>
      <c r="AB222" s="177" t="s">
        <v>19</v>
      </c>
      <c r="AE222" s="177" t="s">
        <v>39</v>
      </c>
      <c r="AF222" s="177" t="s">
        <v>330</v>
      </c>
      <c r="AG222" s="178">
        <f>INDEX('In-Use Stocks'!$M$81:$V$97,MATCH(dataforsankey!$AB222,'In-Use Stocks'!$L$81:$L$97,0),MATCH(dataforsankey!$Y222,'In-Use Stocks'!$M$80:$V$80,0))</f>
        <v>0.25092504548269851</v>
      </c>
      <c r="AH222" s="177" t="s">
        <v>19</v>
      </c>
    </row>
    <row r="223" spans="1:34" x14ac:dyDescent="0.2">
      <c r="A223" t="s">
        <v>39</v>
      </c>
      <c r="B223" t="s">
        <v>6</v>
      </c>
      <c r="C223">
        <f>SUMIFS('CompilationCalcs - EPA EOL'!$G$4:$G$264,'CompilationCalcs - EPA EOL'!$B$4:$B$264,$A223,'CompilationCalcs - EPA EOL'!$F$4:$F$264,$B223)</f>
        <v>1.3317001803272994</v>
      </c>
      <c r="G223" t="s">
        <v>38</v>
      </c>
      <c r="H223" t="s">
        <v>5</v>
      </c>
      <c r="I223">
        <f>SUMIFS('CompilationCalcs - EPA EOL'!$G$4:$G$264,'CompilationCalcs - EPA EOL'!$F$4:$F$264,dataforsankey!$H223,'CompilationCalcs - EPA EOL'!$A$4:$A$264,dataforsankey!$J223,'CompilationCalcs - EPA EOL'!$B$4:$B$264,dataforsankey!$G223)</f>
        <v>0</v>
      </c>
      <c r="J223" t="s">
        <v>7</v>
      </c>
      <c r="M223" t="s">
        <v>872</v>
      </c>
      <c r="N223" t="s">
        <v>69</v>
      </c>
      <c r="O223">
        <f>INDEX(PlasticsDataCompilation!$D$20:$D$36,MATCH(dataforsankey!$P223,PlasticsDataCompilation!$A$20:$A$36,0),1)*INDEX(PlasticsUse!$B$27:$L$43,MATCH(dataforsankey!$P223,PlasticsUse!$A$27:$A$43,0),MATCH($N223,PlasticsUse!$B$26:$L$26,0))</f>
        <v>0</v>
      </c>
      <c r="P223" t="s">
        <v>127</v>
      </c>
      <c r="S223" t="s">
        <v>68</v>
      </c>
      <c r="T223" t="s">
        <v>330</v>
      </c>
      <c r="U223" s="11">
        <f t="shared" si="28"/>
        <v>0.22293618003030377</v>
      </c>
      <c r="V223" t="s">
        <v>19</v>
      </c>
      <c r="Y223" s="177" t="s">
        <v>68</v>
      </c>
      <c r="Z223" s="177" t="s">
        <v>330</v>
      </c>
      <c r="AA223" s="178">
        <f>INDEX('In-Use Stocks'!$M$81:$V$97,MATCH(dataforsankey!$AB223,'In-Use Stocks'!$L$81:$L$97,0),MATCH(dataforsankey!$Y223,'In-Use Stocks'!$M$80:$V$80,0))-SUMIFS($AA$732:$AA$749,$Y$732:$Y$749,$Y223,$AB$732:$AB$749,$AB223)</f>
        <v>2.2293618003030397E-2</v>
      </c>
      <c r="AB223" s="177" t="s">
        <v>19</v>
      </c>
      <c r="AE223" s="177" t="s">
        <v>68</v>
      </c>
      <c r="AF223" s="177" t="s">
        <v>330</v>
      </c>
      <c r="AG223" s="178">
        <f>INDEX('In-Use Stocks'!$M$81:$V$97,MATCH(dataforsankey!$AB223,'In-Use Stocks'!$L$81:$L$97,0),MATCH(dataforsankey!$Y223,'In-Use Stocks'!$M$80:$V$80,0))</f>
        <v>0.22293618003030377</v>
      </c>
      <c r="AH223" s="177" t="s">
        <v>19</v>
      </c>
    </row>
    <row r="224" spans="1:34" x14ac:dyDescent="0.2">
      <c r="A224" t="s">
        <v>68</v>
      </c>
      <c r="B224" t="s">
        <v>4</v>
      </c>
      <c r="C224">
        <f>SUMIFS('CompilationCalcs - EPA EOL'!$G$4:$G$264,'CompilationCalcs - EPA EOL'!$B$4:$B$264,$A224,'CompilationCalcs - EPA EOL'!$F$4:$F$264,$B224)</f>
        <v>0.17437699479844165</v>
      </c>
      <c r="G224" t="s">
        <v>38</v>
      </c>
      <c r="H224" t="s">
        <v>5</v>
      </c>
      <c r="I224">
        <f>SUMIFS('CompilationCalcs - EPA EOL'!$G$4:$G$264,'CompilationCalcs - EPA EOL'!$F$4:$F$264,dataforsankey!$H224,'CompilationCalcs - EPA EOL'!$A$4:$A$264,dataforsankey!$J224,'CompilationCalcs - EPA EOL'!$B$4:$B$264,dataforsankey!$G224)</f>
        <v>0</v>
      </c>
      <c r="J224" t="s">
        <v>8</v>
      </c>
      <c r="M224" t="s">
        <v>872</v>
      </c>
      <c r="N224" t="s">
        <v>100</v>
      </c>
      <c r="O224">
        <f>INDEX(PlasticsDataCompilation!$D$20:$D$36,MATCH(dataforsankey!$P224,PlasticsDataCompilation!$A$20:$A$36,0),1)*INDEX(PlasticsUse!$B$27:$L$43,MATCH(dataforsankey!$P224,PlasticsUse!$A$27:$A$43,0),MATCH($N224,PlasticsUse!$B$26:$L$26,0))</f>
        <v>0</v>
      </c>
      <c r="P224" t="s">
        <v>127</v>
      </c>
      <c r="S224" t="s">
        <v>63</v>
      </c>
      <c r="T224" t="s">
        <v>330</v>
      </c>
      <c r="U224" s="11">
        <f t="shared" si="28"/>
        <v>0.20400517790002873</v>
      </c>
      <c r="V224" t="s">
        <v>19</v>
      </c>
      <c r="Y224" s="177" t="s">
        <v>63</v>
      </c>
      <c r="Z224" s="177" t="s">
        <v>330</v>
      </c>
      <c r="AA224" s="178">
        <f>INDEX('In-Use Stocks'!$M$81:$V$97,MATCH(dataforsankey!$AB224,'In-Use Stocks'!$L$81:$L$97,0),MATCH(dataforsankey!$Y224,'In-Use Stocks'!$M$80:$V$80,0))-SUMIFS($AA$732:$AA$749,$Y$732:$Y$749,$Y224,$AB$732:$AB$749,$AB224)</f>
        <v>2.0400517790002848E-2</v>
      </c>
      <c r="AB224" s="177" t="s">
        <v>19</v>
      </c>
      <c r="AE224" s="177" t="s">
        <v>63</v>
      </c>
      <c r="AF224" s="177" t="s">
        <v>330</v>
      </c>
      <c r="AG224" s="178">
        <f>INDEX('In-Use Stocks'!$M$81:$V$97,MATCH(dataforsankey!$AB224,'In-Use Stocks'!$L$81:$L$97,0),MATCH(dataforsankey!$Y224,'In-Use Stocks'!$M$80:$V$80,0))</f>
        <v>0.20400517790002873</v>
      </c>
      <c r="AH224" s="177" t="s">
        <v>19</v>
      </c>
    </row>
    <row r="225" spans="1:34" x14ac:dyDescent="0.2">
      <c r="A225" t="s">
        <v>68</v>
      </c>
      <c r="B225" t="s">
        <v>5</v>
      </c>
      <c r="C225">
        <f>SUMIFS('CompilationCalcs - EPA EOL'!$G$4:$G$264,'CompilationCalcs - EPA EOL'!$B$4:$B$264,$A225,'CompilationCalcs - EPA EOL'!$F$4:$F$264,$B225)</f>
        <v>8.2643125496891789E-3</v>
      </c>
      <c r="G225" t="s">
        <v>38</v>
      </c>
      <c r="H225" t="s">
        <v>5</v>
      </c>
      <c r="I225">
        <f>SUMIFS('CompilationCalcs - EPA EOL'!$G$4:$G$264,'CompilationCalcs - EPA EOL'!$F$4:$F$264,dataforsankey!$H225,'CompilationCalcs - EPA EOL'!$A$4:$A$264,dataforsankey!$J225,'CompilationCalcs - EPA EOL'!$B$4:$B$264,dataforsankey!$G225)</f>
        <v>0</v>
      </c>
      <c r="J225" t="s">
        <v>9</v>
      </c>
      <c r="M225" t="s">
        <v>872</v>
      </c>
      <c r="N225" t="s">
        <v>39</v>
      </c>
      <c r="O225">
        <f>INDEX(PlasticsDataCompilation!$D$20:$D$36,MATCH(dataforsankey!$P225,PlasticsDataCompilation!$A$20:$A$36,0),1)*INDEX(PlasticsUse!$B$27:$L$43,MATCH(dataforsankey!$P225,PlasticsUse!$A$27:$A$43,0),MATCH($N225,PlasticsUse!$B$26:$L$26,0))</f>
        <v>0</v>
      </c>
      <c r="P225" t="s">
        <v>127</v>
      </c>
      <c r="S225" t="s">
        <v>92</v>
      </c>
      <c r="T225" t="s">
        <v>330</v>
      </c>
      <c r="U225" s="11">
        <f t="shared" si="28"/>
        <v>0.17650526558722152</v>
      </c>
      <c r="V225" t="s">
        <v>19</v>
      </c>
      <c r="Y225" s="177" t="s">
        <v>92</v>
      </c>
      <c r="Z225" s="177" t="s">
        <v>330</v>
      </c>
      <c r="AA225" s="178">
        <f>INDEX('In-Use Stocks'!$M$81:$V$97,MATCH(dataforsankey!$AB225,'In-Use Stocks'!$L$81:$L$97,0),MATCH(dataforsankey!$Y225,'In-Use Stocks'!$M$80:$V$80,0))-SUMIFS($AA$732:$AA$749,$Y$732:$Y$749,$Y225,$AB$732:$AB$749,$AB225)</f>
        <v>1.7650526558722124E-2</v>
      </c>
      <c r="AB225" s="177" t="s">
        <v>19</v>
      </c>
      <c r="AE225" s="177" t="s">
        <v>92</v>
      </c>
      <c r="AF225" s="177" t="s">
        <v>330</v>
      </c>
      <c r="AG225" s="178">
        <f>INDEX('In-Use Stocks'!$M$81:$V$97,MATCH(dataforsankey!$AB225,'In-Use Stocks'!$L$81:$L$97,0),MATCH(dataforsankey!$Y225,'In-Use Stocks'!$M$80:$V$80,0))</f>
        <v>0.17650526558722152</v>
      </c>
      <c r="AH225" s="177" t="s">
        <v>19</v>
      </c>
    </row>
    <row r="226" spans="1:34" x14ac:dyDescent="0.2">
      <c r="A226" t="s">
        <v>68</v>
      </c>
      <c r="B226" t="s">
        <v>6</v>
      </c>
      <c r="C226">
        <f>SUMIFS('CompilationCalcs - EPA EOL'!$G$4:$G$264,'CompilationCalcs - EPA EOL'!$B$4:$B$264,$A226,'CompilationCalcs - EPA EOL'!$F$4:$F$264,$B226)</f>
        <v>3.5536543963663465E-2</v>
      </c>
      <c r="G226" t="s">
        <v>38</v>
      </c>
      <c r="H226" t="s">
        <v>5</v>
      </c>
      <c r="I226">
        <f>SUMIFS('CompilationCalcs - EPA EOL'!$G$4:$G$264,'CompilationCalcs - EPA EOL'!$F$4:$F$264,dataforsankey!$H226,'CompilationCalcs - EPA EOL'!$A$4:$A$264,dataforsankey!$J226,'CompilationCalcs - EPA EOL'!$B$4:$B$264,dataforsankey!$G226)</f>
        <v>0</v>
      </c>
      <c r="J226" t="s">
        <v>10</v>
      </c>
      <c r="M226" t="s">
        <v>872</v>
      </c>
      <c r="N226" t="s">
        <v>68</v>
      </c>
      <c r="O226">
        <f>INDEX(PlasticsDataCompilation!$D$20:$D$36,MATCH(dataforsankey!$P226,PlasticsDataCompilation!$A$20:$A$36,0),1)*INDEX(PlasticsUse!$B$27:$L$43,MATCH(dataforsankey!$P226,PlasticsUse!$A$27:$A$43,0),MATCH($N226,PlasticsUse!$B$26:$L$26,0))</f>
        <v>0</v>
      </c>
      <c r="P226" t="s">
        <v>127</v>
      </c>
      <c r="S226" t="s">
        <v>103</v>
      </c>
      <c r="T226" t="s">
        <v>330</v>
      </c>
      <c r="U226" s="11">
        <f t="shared" si="28"/>
        <v>0</v>
      </c>
      <c r="V226" t="s">
        <v>19</v>
      </c>
      <c r="Y226" s="177" t="s">
        <v>103</v>
      </c>
      <c r="Z226" s="177" t="s">
        <v>330</v>
      </c>
      <c r="AA226" s="178">
        <f>INDEX('In-Use Stocks'!$M$81:$V$97,MATCH(dataforsankey!$AB226,'In-Use Stocks'!$L$81:$L$97,0),MATCH(dataforsankey!$Y226,'In-Use Stocks'!$M$80:$V$80,0))-SUMIFS($AA$732:$AA$749,$Y$732:$Y$749,$Y226,$AB$732:$AB$749,$AB226)</f>
        <v>0</v>
      </c>
      <c r="AB226" s="177" t="s">
        <v>19</v>
      </c>
      <c r="AE226" s="177" t="s">
        <v>103</v>
      </c>
      <c r="AF226" s="177" t="s">
        <v>330</v>
      </c>
      <c r="AG226" s="178">
        <f>INDEX('In-Use Stocks'!$M$81:$V$97,MATCH(dataforsankey!$AB226,'In-Use Stocks'!$L$81:$L$97,0),MATCH(dataforsankey!$Y226,'In-Use Stocks'!$M$80:$V$80,0))</f>
        <v>0</v>
      </c>
      <c r="AH226" s="177" t="s">
        <v>19</v>
      </c>
    </row>
    <row r="227" spans="1:34" x14ac:dyDescent="0.2">
      <c r="A227" t="s">
        <v>91</v>
      </c>
      <c r="B227" t="s">
        <v>4</v>
      </c>
      <c r="C227" t="e">
        <f>SUMIFS('CompilationCalcs - EPA EOL'!$G$4:$G$264,'CompilationCalcs - EPA EOL'!$B$4:$B$264,$A227,'CompilationCalcs - EPA EOL'!$F$4:$F$264,$B227)</f>
        <v>#N/A</v>
      </c>
      <c r="G227" t="s">
        <v>38</v>
      </c>
      <c r="H227" t="s">
        <v>5</v>
      </c>
      <c r="I227">
        <f>SUMIFS('CompilationCalcs - EPA EOL'!$G$4:$G$264,'CompilationCalcs - EPA EOL'!$F$4:$F$264,dataforsankey!$H227,'CompilationCalcs - EPA EOL'!$A$4:$A$264,dataforsankey!$J227,'CompilationCalcs - EPA EOL'!$B$4:$B$264,dataforsankey!$G227)</f>
        <v>0</v>
      </c>
      <c r="J227" t="s">
        <v>11</v>
      </c>
      <c r="M227" t="s">
        <v>872</v>
      </c>
      <c r="N227" t="s">
        <v>63</v>
      </c>
      <c r="O227">
        <f>INDEX(PlasticsDataCompilation!$D$20:$D$36,MATCH(dataforsankey!$P227,PlasticsDataCompilation!$A$20:$A$36,0),1)*INDEX(PlasticsUse!$B$27:$L$43,MATCH(dataforsankey!$P227,PlasticsUse!$A$27:$A$43,0),MATCH($N227,PlasticsUse!$B$26:$L$26,0))</f>
        <v>0</v>
      </c>
      <c r="P227" t="s">
        <v>127</v>
      </c>
      <c r="S227" t="s">
        <v>86</v>
      </c>
      <c r="T227" t="s">
        <v>330</v>
      </c>
      <c r="U227" s="11">
        <f t="shared" si="28"/>
        <v>0.17650526558722152</v>
      </c>
      <c r="V227" t="s">
        <v>19</v>
      </c>
      <c r="Y227" s="177" t="s">
        <v>86</v>
      </c>
      <c r="Z227" s="177" t="s">
        <v>330</v>
      </c>
      <c r="AA227" s="178">
        <f>INDEX('In-Use Stocks'!$M$81:$V$97,MATCH(dataforsankey!$AB227,'In-Use Stocks'!$L$81:$L$97,0),MATCH(dataforsankey!$Y227,'In-Use Stocks'!$M$80:$V$80,0))-SUMIFS($AA$732:$AA$749,$Y$732:$Y$749,$Y227,$AB$732:$AB$749,$AB227)</f>
        <v>1.7650526558722124E-2</v>
      </c>
      <c r="AB227" s="177" t="s">
        <v>19</v>
      </c>
      <c r="AE227" s="177" t="s">
        <v>86</v>
      </c>
      <c r="AF227" s="177" t="s">
        <v>330</v>
      </c>
      <c r="AG227" s="178">
        <f>INDEX('In-Use Stocks'!$M$81:$V$97,MATCH(dataforsankey!$AB227,'In-Use Stocks'!$L$81:$L$97,0),MATCH(dataforsankey!$Y227,'In-Use Stocks'!$M$80:$V$80,0))</f>
        <v>0.17650526558722152</v>
      </c>
      <c r="AH227" s="177" t="s">
        <v>19</v>
      </c>
    </row>
    <row r="228" spans="1:34" x14ac:dyDescent="0.2">
      <c r="A228" t="s">
        <v>91</v>
      </c>
      <c r="B228" t="s">
        <v>5</v>
      </c>
      <c r="C228" t="e">
        <f>SUMIFS('CompilationCalcs - EPA EOL'!$G$4:$G$264,'CompilationCalcs - EPA EOL'!$B$4:$B$264,$A228,'CompilationCalcs - EPA EOL'!$F$4:$F$264,$B228)</f>
        <v>#N/A</v>
      </c>
      <c r="G228" t="s">
        <v>38</v>
      </c>
      <c r="H228" t="s">
        <v>5</v>
      </c>
      <c r="I228">
        <f>SUMIFS('CompilationCalcs - EPA EOL'!$G$4:$G$264,'CompilationCalcs - EPA EOL'!$F$4:$F$264,dataforsankey!$H228,'CompilationCalcs - EPA EOL'!$A$4:$A$264,dataforsankey!$J228,'CompilationCalcs - EPA EOL'!$B$4:$B$264,dataforsankey!$G228)</f>
        <v>0</v>
      </c>
      <c r="J228" t="s">
        <v>127</v>
      </c>
      <c r="M228" t="s">
        <v>872</v>
      </c>
      <c r="N228" t="s">
        <v>92</v>
      </c>
      <c r="O228">
        <f>INDEX(PlasticsDataCompilation!$D$20:$D$36,MATCH(dataforsankey!$P228,PlasticsDataCompilation!$A$20:$A$36,0),1)*INDEX(PlasticsUse!$B$27:$L$43,MATCH(dataforsankey!$P228,PlasticsUse!$A$27:$A$43,0),MATCH($N228,PlasticsUse!$B$26:$L$26,0))</f>
        <v>0</v>
      </c>
      <c r="P228" t="s">
        <v>127</v>
      </c>
      <c r="S228" t="s">
        <v>38</v>
      </c>
      <c r="T228" t="s">
        <v>330</v>
      </c>
      <c r="U228" s="11">
        <f t="shared" si="28"/>
        <v>0.11339997340437069</v>
      </c>
      <c r="V228" t="s">
        <v>1</v>
      </c>
      <c r="Y228" s="177" t="s">
        <v>38</v>
      </c>
      <c r="Z228" s="177" t="s">
        <v>330</v>
      </c>
      <c r="AA228" s="178">
        <f>INDEX('In-Use Stocks'!$M$81:$V$97,MATCH(dataforsankey!$AB228,'In-Use Stocks'!$L$81:$L$97,0),MATCH(dataforsankey!$Y228,'In-Use Stocks'!$M$80:$V$80,0))</f>
        <v>0.11339997340437069</v>
      </c>
      <c r="AB228" s="177" t="s">
        <v>1</v>
      </c>
      <c r="AE228" s="177" t="s">
        <v>38</v>
      </c>
      <c r="AF228" s="177" t="s">
        <v>330</v>
      </c>
      <c r="AG228" s="178">
        <f>INDEX('In-Use Stocks'!$M$81:$V$97,MATCH(dataforsankey!$AB228,'In-Use Stocks'!$L$81:$L$97,0),MATCH(dataforsankey!$Y228,'In-Use Stocks'!$M$80:$V$80,0))</f>
        <v>0.11339997340437069</v>
      </c>
      <c r="AH228" s="177" t="s">
        <v>1</v>
      </c>
    </row>
    <row r="229" spans="1:34" x14ac:dyDescent="0.2">
      <c r="A229" t="s">
        <v>91</v>
      </c>
      <c r="B229" t="s">
        <v>6</v>
      </c>
      <c r="C229" t="e">
        <f>SUMIFS('CompilationCalcs - EPA EOL'!$G$4:$G$264,'CompilationCalcs - EPA EOL'!$B$4:$B$264,$A229,'CompilationCalcs - EPA EOL'!$F$4:$F$264,$B229)</f>
        <v>#N/A</v>
      </c>
      <c r="G229" t="s">
        <v>38</v>
      </c>
      <c r="H229" t="s">
        <v>5</v>
      </c>
      <c r="I229">
        <f>SUMIFS('CompilationCalcs - EPA EOL'!$G$4:$G$264,'CompilationCalcs - EPA EOL'!$F$4:$F$264,dataforsankey!$H229,'CompilationCalcs - EPA EOL'!$A$4:$A$264,dataforsankey!$J229,'CompilationCalcs - EPA EOL'!$B$4:$B$264,dataforsankey!$G229)</f>
        <v>0</v>
      </c>
      <c r="J229" t="s">
        <v>122</v>
      </c>
      <c r="M229" t="s">
        <v>872</v>
      </c>
      <c r="N229" t="s">
        <v>103</v>
      </c>
      <c r="O229">
        <f>INDEX(PlasticsDataCompilation!$D$20:$D$36,MATCH(dataforsankey!$P229,PlasticsDataCompilation!$A$20:$A$36,0),1)*INDEX(PlasticsUse!$B$27:$L$43,MATCH(dataforsankey!$P229,PlasticsUse!$A$27:$A$43,0),MATCH($N229,PlasticsUse!$B$26:$L$26,0))</f>
        <v>0</v>
      </c>
      <c r="P229" t="s">
        <v>127</v>
      </c>
      <c r="S229" t="s">
        <v>99</v>
      </c>
      <c r="T229" t="s">
        <v>330</v>
      </c>
      <c r="U229" s="11">
        <f t="shared" si="28"/>
        <v>0.27592153975516903</v>
      </c>
      <c r="V229" t="s">
        <v>1</v>
      </c>
      <c r="Y229" s="177" t="s">
        <v>99</v>
      </c>
      <c r="Z229" s="177" t="s">
        <v>330</v>
      </c>
      <c r="AA229" s="178">
        <f>INDEX('In-Use Stocks'!$M$81:$V$97,MATCH(dataforsankey!$AB229,'In-Use Stocks'!$L$81:$L$97,0),MATCH(dataforsankey!$Y229,'In-Use Stocks'!$M$80:$V$80,0))</f>
        <v>0.27592153975516903</v>
      </c>
      <c r="AB229" s="177" t="s">
        <v>1</v>
      </c>
      <c r="AE229" s="177" t="s">
        <v>99</v>
      </c>
      <c r="AF229" s="177" t="s">
        <v>330</v>
      </c>
      <c r="AG229" s="178">
        <f>INDEX('In-Use Stocks'!$M$81:$V$97,MATCH(dataforsankey!$AB229,'In-Use Stocks'!$L$81:$L$97,0),MATCH(dataforsankey!$Y229,'In-Use Stocks'!$M$80:$V$80,0))</f>
        <v>0.27592153975516903</v>
      </c>
      <c r="AH229" s="177" t="s">
        <v>1</v>
      </c>
    </row>
    <row r="230" spans="1:34" x14ac:dyDescent="0.2">
      <c r="A230" t="s">
        <v>92</v>
      </c>
      <c r="B230" t="s">
        <v>4</v>
      </c>
      <c r="C230">
        <f>SUMIFS('CompilationCalcs - EPA EOL'!$G$4:$G$264,'CompilationCalcs - EPA EOL'!$B$4:$B$264,$A230,'CompilationCalcs - EPA EOL'!$F$4:$F$264,$B230)</f>
        <v>0.17437699479844165</v>
      </c>
      <c r="G230" t="s">
        <v>38</v>
      </c>
      <c r="H230" t="s">
        <v>5</v>
      </c>
      <c r="I230">
        <f>SUMIFS('CompilationCalcs - EPA EOL'!$G$4:$G$264,'CompilationCalcs - EPA EOL'!$F$4:$F$264,dataforsankey!$H230,'CompilationCalcs - EPA EOL'!$A$4:$A$264,dataforsankey!$J230,'CompilationCalcs - EPA EOL'!$B$4:$B$264,dataforsankey!$G230)</f>
        <v>0</v>
      </c>
      <c r="J230" t="s">
        <v>82</v>
      </c>
      <c r="M230" t="s">
        <v>872</v>
      </c>
      <c r="N230" t="s">
        <v>86</v>
      </c>
      <c r="O230">
        <f>INDEX(PlasticsDataCompilation!$D$20:$D$36,MATCH(dataforsankey!$P230,PlasticsDataCompilation!$A$20:$A$36,0),1)*INDEX(PlasticsUse!$B$27:$L$43,MATCH(dataforsankey!$P230,PlasticsUse!$A$27:$A$43,0),MATCH($N230,PlasticsUse!$B$26:$L$26,0))</f>
        <v>0</v>
      </c>
      <c r="P230" t="s">
        <v>127</v>
      </c>
      <c r="S230" t="s">
        <v>69</v>
      </c>
      <c r="T230" t="s">
        <v>335</v>
      </c>
      <c r="U230" s="11">
        <f t="shared" si="28"/>
        <v>0.29919555911991708</v>
      </c>
      <c r="V230" t="s">
        <v>1</v>
      </c>
      <c r="Y230" t="s">
        <v>69</v>
      </c>
      <c r="Z230" t="s">
        <v>335</v>
      </c>
      <c r="AA230" s="11">
        <f>SUMIFS($O$23:$O$953,$M$23:$M$953,Y230,$N$23:$N$953,Z230,$P$23:$P$953,AB230)</f>
        <v>0.29919555911991708</v>
      </c>
      <c r="AB230" t="s">
        <v>1</v>
      </c>
      <c r="AE230" t="s">
        <v>69</v>
      </c>
      <c r="AF230" t="s">
        <v>335</v>
      </c>
      <c r="AG230" s="11">
        <f>SUMIFS($O$23:$O$953,$M$23:$M$953,AE230,$N$23:$N$953,AF230,$P$23:$P$953,AH230)</f>
        <v>0.29919555911991708</v>
      </c>
      <c r="AH230" t="s">
        <v>1</v>
      </c>
    </row>
    <row r="231" spans="1:34" x14ac:dyDescent="0.2">
      <c r="A231" t="s">
        <v>92</v>
      </c>
      <c r="B231" t="s">
        <v>5</v>
      </c>
      <c r="C231">
        <f>SUMIFS('CompilationCalcs - EPA EOL'!$G$4:$G$264,'CompilationCalcs - EPA EOL'!$B$4:$B$264,$A231,'CompilationCalcs - EPA EOL'!$F$4:$F$264,$B231)</f>
        <v>8.2643125496891789E-3</v>
      </c>
      <c r="G231" t="s">
        <v>38</v>
      </c>
      <c r="H231" t="s">
        <v>6</v>
      </c>
      <c r="I231">
        <f>SUMIFS('CompilationCalcs - EPA EOL'!$G$4:$G$264,'CompilationCalcs - EPA EOL'!$F$4:$F$264,dataforsankey!$H231,'CompilationCalcs - EPA EOL'!$A$4:$A$264,dataforsankey!$J231,'CompilationCalcs - EPA EOL'!$B$4:$B$264,dataforsankey!$G231)</f>
        <v>0</v>
      </c>
      <c r="J231" t="s">
        <v>0</v>
      </c>
      <c r="M231" t="s">
        <v>872</v>
      </c>
      <c r="N231" t="s">
        <v>18</v>
      </c>
      <c r="O231">
        <f>INDEX(PlasticsDataCompilation!$D$20:$D$36,MATCH(dataforsankey!$P231,PlasticsDataCompilation!$A$20:$A$36,0),1)*INDEX(PlasticsUse!$B$27:$L$43,MATCH(dataforsankey!$P231,PlasticsUse!$A$27:$A$43,0),MATCH($N231,PlasticsUse!$B$26:$L$26,0))</f>
        <v>0</v>
      </c>
      <c r="P231" t="s">
        <v>127</v>
      </c>
      <c r="S231" t="s">
        <v>100</v>
      </c>
      <c r="T231" t="s">
        <v>330</v>
      </c>
      <c r="U231" s="11">
        <f t="shared" si="28"/>
        <v>0.21965057980236355</v>
      </c>
      <c r="V231" t="s">
        <v>1</v>
      </c>
      <c r="Y231" s="177" t="s">
        <v>100</v>
      </c>
      <c r="Z231" s="177" t="s">
        <v>330</v>
      </c>
      <c r="AA231" s="178">
        <f>INDEX('In-Use Stocks'!$M$81:$V$97,MATCH(dataforsankey!$AB231,'In-Use Stocks'!$L$81:$L$97,0),MATCH(dataforsankey!$Y231,'In-Use Stocks'!$M$80:$V$80,0))</f>
        <v>0.21965057980236355</v>
      </c>
      <c r="AB231" s="177" t="s">
        <v>1</v>
      </c>
      <c r="AE231" s="177" t="s">
        <v>100</v>
      </c>
      <c r="AF231" s="177" t="s">
        <v>330</v>
      </c>
      <c r="AG231" s="178">
        <f>INDEX('In-Use Stocks'!$M$81:$V$97,MATCH(dataforsankey!$AB231,'In-Use Stocks'!$L$81:$L$97,0),MATCH(dataforsankey!$Y231,'In-Use Stocks'!$M$80:$V$80,0))</f>
        <v>0.21965057980236355</v>
      </c>
      <c r="AH231" s="177" t="s">
        <v>1</v>
      </c>
    </row>
    <row r="232" spans="1:34" x14ac:dyDescent="0.2">
      <c r="A232" t="s">
        <v>92</v>
      </c>
      <c r="B232" t="s">
        <v>6</v>
      </c>
      <c r="C232">
        <f>SUMIFS('CompilationCalcs - EPA EOL'!$G$4:$G$264,'CompilationCalcs - EPA EOL'!$B$4:$B$264,$A232,'CompilationCalcs - EPA EOL'!$F$4:$F$264,$B232)</f>
        <v>3.5536543963663465E-2</v>
      </c>
      <c r="G232" t="s">
        <v>38</v>
      </c>
      <c r="H232" t="s">
        <v>6</v>
      </c>
      <c r="I232">
        <f>SUMIFS('CompilationCalcs - EPA EOL'!$G$4:$G$264,'CompilationCalcs - EPA EOL'!$F$4:$F$264,dataforsankey!$H232,'CompilationCalcs - EPA EOL'!$A$4:$A$264,dataforsankey!$J232,'CompilationCalcs - EPA EOL'!$B$4:$B$264,dataforsankey!$G232)</f>
        <v>0</v>
      </c>
      <c r="J232" t="s">
        <v>2</v>
      </c>
      <c r="M232" t="s">
        <v>872</v>
      </c>
      <c r="N232" t="s">
        <v>38</v>
      </c>
      <c r="O232">
        <f>INDEX(PlasticsDataCompilation!$D$20:$D$36,MATCH(dataforsankey!$P232,PlasticsDataCompilation!$A$20:$A$36,0),1)*INDEX(PlasticsUse!$B$27:$L$43,MATCH(dataforsankey!$P232,PlasticsUse!$A$27:$A$43,0),MATCH($N232,PlasticsUse!$B$26:$L$26,0))</f>
        <v>3.6572862708552097E-2</v>
      </c>
      <c r="P232" t="s">
        <v>8</v>
      </c>
      <c r="S232" t="s">
        <v>39</v>
      </c>
      <c r="T232" t="s">
        <v>330</v>
      </c>
      <c r="U232" s="11">
        <f t="shared" si="28"/>
        <v>0.35090648274525166</v>
      </c>
      <c r="V232" t="s">
        <v>1</v>
      </c>
      <c r="Y232" s="177" t="s">
        <v>39</v>
      </c>
      <c r="Z232" s="177" t="s">
        <v>330</v>
      </c>
      <c r="AA232" s="178">
        <f>INDEX('In-Use Stocks'!$M$81:$V$97,MATCH(dataforsankey!$AB232,'In-Use Stocks'!$L$81:$L$97,0),MATCH(dataforsankey!$Y232,'In-Use Stocks'!$M$80:$V$80,0))</f>
        <v>0.35090648274525166</v>
      </c>
      <c r="AB232" s="177" t="s">
        <v>1</v>
      </c>
      <c r="AE232" s="177" t="s">
        <v>39</v>
      </c>
      <c r="AF232" s="177" t="s">
        <v>330</v>
      </c>
      <c r="AG232" s="178">
        <f>INDEX('In-Use Stocks'!$M$81:$V$97,MATCH(dataforsankey!$AB232,'In-Use Stocks'!$L$81:$L$97,0),MATCH(dataforsankey!$Y232,'In-Use Stocks'!$M$80:$V$80,0))</f>
        <v>0.35090648274525166</v>
      </c>
      <c r="AH232" s="177" t="s">
        <v>1</v>
      </c>
    </row>
    <row r="233" spans="1:34" x14ac:dyDescent="0.2">
      <c r="A233" t="s">
        <v>103</v>
      </c>
      <c r="B233" t="s">
        <v>4</v>
      </c>
      <c r="C233">
        <f>SUMIFS('CompilationCalcs - EPA EOL'!$G$4:$G$264,'CompilationCalcs - EPA EOL'!$B$4:$B$264,$A233,'CompilationCalcs - EPA EOL'!$F$4:$F$264,$B233)</f>
        <v>9.1733869301549878E-2</v>
      </c>
      <c r="G233" t="s">
        <v>38</v>
      </c>
      <c r="H233" t="s">
        <v>6</v>
      </c>
      <c r="I233">
        <f>SUMIFS('CompilationCalcs - EPA EOL'!$G$4:$G$264,'CompilationCalcs - EPA EOL'!$F$4:$F$264,dataforsankey!$H233,'CompilationCalcs - EPA EOL'!$A$4:$A$264,dataforsankey!$J233,'CompilationCalcs - EPA EOL'!$B$4:$B$264,dataforsankey!$G233)</f>
        <v>3.5536543963663465E-2</v>
      </c>
      <c r="J233" t="s">
        <v>1</v>
      </c>
      <c r="M233" t="s">
        <v>872</v>
      </c>
      <c r="N233" t="s">
        <v>99</v>
      </c>
      <c r="O233">
        <f>INDEX(PlasticsDataCompilation!$D$20:$D$36,MATCH(dataforsankey!$P233,PlasticsDataCompilation!$A$20:$A$36,0),1)*INDEX(PlasticsUse!$B$27:$L$43,MATCH(dataforsankey!$P233,PlasticsUse!$A$27:$A$43,0),MATCH($N233,PlasticsUse!$B$26:$L$26,0))</f>
        <v>3.6572862708552097E-2</v>
      </c>
      <c r="P233" t="s">
        <v>8</v>
      </c>
      <c r="S233" t="s">
        <v>68</v>
      </c>
      <c r="T233" t="s">
        <v>330</v>
      </c>
      <c r="U233" s="11">
        <f t="shared" si="28"/>
        <v>0.31176541449103817</v>
      </c>
      <c r="V233" t="s">
        <v>1</v>
      </c>
      <c r="Y233" s="177" t="s">
        <v>68</v>
      </c>
      <c r="Z233" s="177" t="s">
        <v>330</v>
      </c>
      <c r="AA233" s="178">
        <f>INDEX('In-Use Stocks'!$M$81:$V$97,MATCH(dataforsankey!$AB233,'In-Use Stocks'!$L$81:$L$97,0),MATCH(dataforsankey!$Y233,'In-Use Stocks'!$M$80:$V$80,0))</f>
        <v>0.31176541449103817</v>
      </c>
      <c r="AB233" s="177" t="s">
        <v>1</v>
      </c>
      <c r="AE233" s="177" t="s">
        <v>68</v>
      </c>
      <c r="AF233" s="177" t="s">
        <v>330</v>
      </c>
      <c r="AG233" s="178">
        <f>INDEX('In-Use Stocks'!$M$81:$V$97,MATCH(dataforsankey!$AB233,'In-Use Stocks'!$L$81:$L$97,0),MATCH(dataforsankey!$Y233,'In-Use Stocks'!$M$80:$V$80,0))</f>
        <v>0.31176541449103817</v>
      </c>
      <c r="AH233" s="177" t="s">
        <v>1</v>
      </c>
    </row>
    <row r="234" spans="1:34" x14ac:dyDescent="0.2">
      <c r="A234" t="s">
        <v>103</v>
      </c>
      <c r="B234" t="s">
        <v>5</v>
      </c>
      <c r="C234">
        <f>SUMIFS('CompilationCalcs - EPA EOL'!$G$4:$G$264,'CompilationCalcs - EPA EOL'!$B$4:$B$264,$A234,'CompilationCalcs - EPA EOL'!$F$4:$F$264,$B234)</f>
        <v>0</v>
      </c>
      <c r="G234" t="s">
        <v>38</v>
      </c>
      <c r="H234" t="s">
        <v>6</v>
      </c>
      <c r="I234">
        <f>SUMIFS('CompilationCalcs - EPA EOL'!$G$4:$G$264,'CompilationCalcs - EPA EOL'!$F$4:$F$264,dataforsankey!$H234,'CompilationCalcs - EPA EOL'!$A$4:$A$264,dataforsankey!$J234,'CompilationCalcs - EPA EOL'!$B$4:$B$264,dataforsankey!$G234)</f>
        <v>0</v>
      </c>
      <c r="J234" t="s">
        <v>7</v>
      </c>
      <c r="M234" t="s">
        <v>872</v>
      </c>
      <c r="N234" t="s">
        <v>69</v>
      </c>
      <c r="O234">
        <f>INDEX(PlasticsDataCompilation!$D$20:$D$36,MATCH(dataforsankey!$P234,PlasticsDataCompilation!$A$20:$A$36,0),1)*INDEX(PlasticsUse!$B$27:$L$43,MATCH(dataforsankey!$P234,PlasticsUse!$A$27:$A$43,0),MATCH($N234,PlasticsUse!$B$26:$L$26,0))</f>
        <v>3.6572862708552097E-2</v>
      </c>
      <c r="P234" t="s">
        <v>8</v>
      </c>
      <c r="S234" t="s">
        <v>63</v>
      </c>
      <c r="T234" t="s">
        <v>330</v>
      </c>
      <c r="U234" s="11">
        <f t="shared" si="28"/>
        <v>0.28529132793822443</v>
      </c>
      <c r="V234" t="s">
        <v>1</v>
      </c>
      <c r="Y234" s="177" t="s">
        <v>63</v>
      </c>
      <c r="Z234" s="177" t="s">
        <v>330</v>
      </c>
      <c r="AA234" s="178">
        <f>INDEX('In-Use Stocks'!$M$81:$V$97,MATCH(dataforsankey!$AB234,'In-Use Stocks'!$L$81:$L$97,0),MATCH(dataforsankey!$Y234,'In-Use Stocks'!$M$80:$V$80,0))</f>
        <v>0.28529132793822443</v>
      </c>
      <c r="AB234" s="177" t="s">
        <v>1</v>
      </c>
      <c r="AE234" s="177" t="s">
        <v>63</v>
      </c>
      <c r="AF234" s="177" t="s">
        <v>330</v>
      </c>
      <c r="AG234" s="178">
        <f>INDEX('In-Use Stocks'!$M$81:$V$97,MATCH(dataforsankey!$AB234,'In-Use Stocks'!$L$81:$L$97,0),MATCH(dataforsankey!$Y234,'In-Use Stocks'!$M$80:$V$80,0))</f>
        <v>0.28529132793822443</v>
      </c>
      <c r="AH234" s="177" t="s">
        <v>1</v>
      </c>
    </row>
    <row r="235" spans="1:34" x14ac:dyDescent="0.2">
      <c r="A235" t="s">
        <v>103</v>
      </c>
      <c r="B235" t="s">
        <v>6</v>
      </c>
      <c r="C235">
        <f>SUMIFS('CompilationCalcs - EPA EOL'!$G$4:$G$264,'CompilationCalcs - EPA EOL'!$B$4:$B$264,$A235,'CompilationCalcs - EPA EOL'!$F$4:$F$264,$B235)</f>
        <v>0</v>
      </c>
      <c r="G235" t="s">
        <v>38</v>
      </c>
      <c r="H235" t="s">
        <v>6</v>
      </c>
      <c r="I235">
        <f>SUMIFS('CompilationCalcs - EPA EOL'!$G$4:$G$264,'CompilationCalcs - EPA EOL'!$F$4:$F$264,dataforsankey!$H235,'CompilationCalcs - EPA EOL'!$A$4:$A$264,dataforsankey!$J235,'CompilationCalcs - EPA EOL'!$B$4:$B$264,dataforsankey!$G235)</f>
        <v>0</v>
      </c>
      <c r="J235" t="s">
        <v>8</v>
      </c>
      <c r="M235" t="s">
        <v>872</v>
      </c>
      <c r="N235" t="s">
        <v>100</v>
      </c>
      <c r="O235">
        <f>INDEX(PlasticsDataCompilation!$D$20:$D$36,MATCH(dataforsankey!$P235,PlasticsDataCompilation!$A$20:$A$36,0),1)*INDEX(PlasticsUse!$B$27:$L$43,MATCH(dataforsankey!$P235,PlasticsUse!$A$27:$A$43,0),MATCH($N235,PlasticsUse!$B$26:$L$26,0))</f>
        <v>3.6572862708552097E-2</v>
      </c>
      <c r="P235" t="s">
        <v>8</v>
      </c>
      <c r="S235" t="s">
        <v>92</v>
      </c>
      <c r="T235" t="s">
        <v>330</v>
      </c>
      <c r="U235" s="11">
        <f t="shared" si="28"/>
        <v>0.24683403688970937</v>
      </c>
      <c r="V235" t="s">
        <v>1</v>
      </c>
      <c r="Y235" s="177" t="s">
        <v>92</v>
      </c>
      <c r="Z235" s="177" t="s">
        <v>330</v>
      </c>
      <c r="AA235" s="178">
        <f>INDEX('In-Use Stocks'!$M$81:$V$97,MATCH(dataforsankey!$AB235,'In-Use Stocks'!$L$81:$L$97,0),MATCH(dataforsankey!$Y235,'In-Use Stocks'!$M$80:$V$80,0))</f>
        <v>0.24683403688970937</v>
      </c>
      <c r="AB235" s="177" t="s">
        <v>1</v>
      </c>
      <c r="AE235" s="177" t="s">
        <v>92</v>
      </c>
      <c r="AF235" s="177" t="s">
        <v>330</v>
      </c>
      <c r="AG235" s="178">
        <f>INDEX('In-Use Stocks'!$M$81:$V$97,MATCH(dataforsankey!$AB235,'In-Use Stocks'!$L$81:$L$97,0),MATCH(dataforsankey!$Y235,'In-Use Stocks'!$M$80:$V$80,0))</f>
        <v>0.24683403688970937</v>
      </c>
      <c r="AH235" s="177" t="s">
        <v>1</v>
      </c>
    </row>
    <row r="236" spans="1:34" x14ac:dyDescent="0.2">
      <c r="A236" t="s">
        <v>86</v>
      </c>
      <c r="B236" t="s">
        <v>4</v>
      </c>
      <c r="C236">
        <f>SUMIFS('CompilationCalcs - EPA EOL'!$G$4:$G$264,'CompilationCalcs - EPA EOL'!$B$4:$B$264,$A236,'CompilationCalcs - EPA EOL'!$F$4:$F$264,$B236)</f>
        <v>0.36803154025298707</v>
      </c>
      <c r="G236" t="s">
        <v>38</v>
      </c>
      <c r="H236" t="s">
        <v>6</v>
      </c>
      <c r="I236">
        <f>SUMIFS('CompilationCalcs - EPA EOL'!$G$4:$G$264,'CompilationCalcs - EPA EOL'!$F$4:$F$264,dataforsankey!$H236,'CompilationCalcs - EPA EOL'!$A$4:$A$264,dataforsankey!$J236,'CompilationCalcs - EPA EOL'!$B$4:$B$264,dataforsankey!$G236)</f>
        <v>0</v>
      </c>
      <c r="J236" t="s">
        <v>9</v>
      </c>
      <c r="M236" t="s">
        <v>872</v>
      </c>
      <c r="N236" t="s">
        <v>39</v>
      </c>
      <c r="O236">
        <f>INDEX(PlasticsDataCompilation!$D$20:$D$36,MATCH(dataforsankey!$P236,PlasticsDataCompilation!$A$20:$A$36,0),1)*INDEX(PlasticsUse!$B$27:$L$43,MATCH(dataforsankey!$P236,PlasticsUse!$A$27:$A$43,0),MATCH($N236,PlasticsUse!$B$26:$L$26,0))</f>
        <v>3.6572862708552097E-2</v>
      </c>
      <c r="P236" t="s">
        <v>8</v>
      </c>
      <c r="S236" t="s">
        <v>103</v>
      </c>
      <c r="T236" t="s">
        <v>330</v>
      </c>
      <c r="U236" s="11">
        <f t="shared" si="28"/>
        <v>0</v>
      </c>
      <c r="V236" t="s">
        <v>1</v>
      </c>
      <c r="Y236" s="177" t="s">
        <v>103</v>
      </c>
      <c r="Z236" s="177" t="s">
        <v>330</v>
      </c>
      <c r="AA236" s="178">
        <f>INDEX('In-Use Stocks'!$M$81:$V$97,MATCH(dataforsankey!$AB236,'In-Use Stocks'!$L$81:$L$97,0),MATCH(dataforsankey!$Y236,'In-Use Stocks'!$M$80:$V$80,0))</f>
        <v>0</v>
      </c>
      <c r="AB236" s="177" t="s">
        <v>1</v>
      </c>
      <c r="AE236" s="177" t="s">
        <v>103</v>
      </c>
      <c r="AF236" s="177" t="s">
        <v>330</v>
      </c>
      <c r="AG236" s="178">
        <f>INDEX('In-Use Stocks'!$M$81:$V$97,MATCH(dataforsankey!$AB236,'In-Use Stocks'!$L$81:$L$97,0),MATCH(dataforsankey!$Y236,'In-Use Stocks'!$M$80:$V$80,0))</f>
        <v>0</v>
      </c>
      <c r="AH236" s="177" t="s">
        <v>1</v>
      </c>
    </row>
    <row r="237" spans="1:34" x14ac:dyDescent="0.2">
      <c r="A237" t="s">
        <v>86</v>
      </c>
      <c r="B237" t="s">
        <v>5</v>
      </c>
      <c r="C237">
        <f>SUMIFS('CompilationCalcs - EPA EOL'!$G$4:$G$264,'CompilationCalcs - EPA EOL'!$B$4:$B$264,$A237,'CompilationCalcs - EPA EOL'!$F$4:$F$264,$B237)</f>
        <v>8.7864312549689183E-2</v>
      </c>
      <c r="G237" t="s">
        <v>38</v>
      </c>
      <c r="H237" t="s">
        <v>6</v>
      </c>
      <c r="I237">
        <f>SUMIFS('CompilationCalcs - EPA EOL'!$G$4:$G$264,'CompilationCalcs - EPA EOL'!$F$4:$F$264,dataforsankey!$H237,'CompilationCalcs - EPA EOL'!$A$4:$A$264,dataforsankey!$J237,'CompilationCalcs - EPA EOL'!$B$4:$B$264,dataforsankey!$G237)</f>
        <v>0</v>
      </c>
      <c r="J237" t="s">
        <v>10</v>
      </c>
      <c r="M237" t="s">
        <v>872</v>
      </c>
      <c r="N237" t="s">
        <v>68</v>
      </c>
      <c r="O237">
        <f>INDEX(PlasticsDataCompilation!$D$20:$D$36,MATCH(dataforsankey!$P237,PlasticsDataCompilation!$A$20:$A$36,0),1)*INDEX(PlasticsUse!$B$27:$L$43,MATCH(dataforsankey!$P237,PlasticsUse!$A$27:$A$43,0),MATCH($N237,PlasticsUse!$B$26:$L$26,0))</f>
        <v>3.6572862708552097E-2</v>
      </c>
      <c r="P237" t="s">
        <v>8</v>
      </c>
      <c r="S237" t="s">
        <v>86</v>
      </c>
      <c r="T237" t="s">
        <v>330</v>
      </c>
      <c r="U237" s="11">
        <f t="shared" si="28"/>
        <v>0.24683403688970937</v>
      </c>
      <c r="V237" t="s">
        <v>1</v>
      </c>
      <c r="Y237" s="177" t="s">
        <v>86</v>
      </c>
      <c r="Z237" s="177" t="s">
        <v>330</v>
      </c>
      <c r="AA237" s="178">
        <f>INDEX('In-Use Stocks'!$M$81:$V$97,MATCH(dataforsankey!$AB237,'In-Use Stocks'!$L$81:$L$97,0),MATCH(dataforsankey!$Y237,'In-Use Stocks'!$M$80:$V$80,0))</f>
        <v>0.24683403688970937</v>
      </c>
      <c r="AB237" s="177" t="s">
        <v>1</v>
      </c>
      <c r="AE237" s="177" t="s">
        <v>86</v>
      </c>
      <c r="AF237" s="177" t="s">
        <v>330</v>
      </c>
      <c r="AG237" s="178">
        <f>INDEX('In-Use Stocks'!$M$81:$V$97,MATCH(dataforsankey!$AB237,'In-Use Stocks'!$L$81:$L$97,0),MATCH(dataforsankey!$Y237,'In-Use Stocks'!$M$80:$V$80,0))</f>
        <v>0.24683403688970937</v>
      </c>
      <c r="AH237" s="177" t="s">
        <v>1</v>
      </c>
    </row>
    <row r="238" spans="1:34" x14ac:dyDescent="0.2">
      <c r="A238" t="s">
        <v>86</v>
      </c>
      <c r="B238" t="s">
        <v>6</v>
      </c>
      <c r="C238">
        <f>SUMIFS('CompilationCalcs - EPA EOL'!$G$4:$G$264,'CompilationCalcs - EPA EOL'!$B$4:$B$264,$A238,'CompilationCalcs - EPA EOL'!$F$4:$F$264,$B238)</f>
        <v>0.35755472578184522</v>
      </c>
      <c r="G238" t="s">
        <v>38</v>
      </c>
      <c r="H238" t="s">
        <v>6</v>
      </c>
      <c r="I238">
        <f>SUMIFS('CompilationCalcs - EPA EOL'!$G$4:$G$264,'CompilationCalcs - EPA EOL'!$F$4:$F$264,dataforsankey!$H238,'CompilationCalcs - EPA EOL'!$A$4:$A$264,dataforsankey!$J238,'CompilationCalcs - EPA EOL'!$B$4:$B$264,dataforsankey!$G238)</f>
        <v>0</v>
      </c>
      <c r="J238" t="s">
        <v>11</v>
      </c>
      <c r="M238" t="s">
        <v>872</v>
      </c>
      <c r="N238" t="s">
        <v>63</v>
      </c>
      <c r="O238">
        <f>INDEX(PlasticsDataCompilation!$D$20:$D$36,MATCH(dataforsankey!$P238,PlasticsDataCompilation!$A$20:$A$36,0),1)*INDEX(PlasticsUse!$B$27:$L$43,MATCH(dataforsankey!$P238,PlasticsUse!$A$27:$A$43,0),MATCH($N238,PlasticsUse!$B$26:$L$26,0))</f>
        <v>3.6572862708552097E-2</v>
      </c>
      <c r="P238" t="s">
        <v>8</v>
      </c>
      <c r="S238" t="s">
        <v>38</v>
      </c>
      <c r="T238" t="s">
        <v>330</v>
      </c>
      <c r="U238" s="11">
        <f t="shared" si="28"/>
        <v>8.7229638114779948E-2</v>
      </c>
      <c r="V238" t="s">
        <v>10</v>
      </c>
      <c r="Y238" s="177" t="s">
        <v>38</v>
      </c>
      <c r="Z238" s="177" t="s">
        <v>330</v>
      </c>
      <c r="AA238" s="178">
        <f>INDEX('In-Use Stocks'!$M$81:$V$97,MATCH(dataforsankey!$AB238,'In-Use Stocks'!$L$81:$L$97,0),MATCH(dataforsankey!$Y238,'In-Use Stocks'!$M$80:$V$80,0))</f>
        <v>8.7229638114779948E-2</v>
      </c>
      <c r="AB238" s="177" t="s">
        <v>10</v>
      </c>
      <c r="AE238" s="177" t="s">
        <v>38</v>
      </c>
      <c r="AF238" s="177" t="s">
        <v>330</v>
      </c>
      <c r="AG238" s="178">
        <f>INDEX('In-Use Stocks'!$M$81:$V$97,MATCH(dataforsankey!$AB238,'In-Use Stocks'!$L$81:$L$97,0),MATCH(dataforsankey!$Y238,'In-Use Stocks'!$M$80:$V$80,0))</f>
        <v>8.7229638114779948E-2</v>
      </c>
      <c r="AH238" s="177" t="s">
        <v>10</v>
      </c>
    </row>
    <row r="239" spans="1:34" ht="19" x14ac:dyDescent="0.25">
      <c r="A239" s="12"/>
      <c r="C239" s="172"/>
      <c r="G239" t="s">
        <v>38</v>
      </c>
      <c r="H239" t="s">
        <v>6</v>
      </c>
      <c r="I239">
        <f>SUMIFS('CompilationCalcs - EPA EOL'!$G$4:$G$264,'CompilationCalcs - EPA EOL'!$F$4:$F$264,dataforsankey!$H239,'CompilationCalcs - EPA EOL'!$A$4:$A$264,dataforsankey!$J239,'CompilationCalcs - EPA EOL'!$B$4:$B$264,dataforsankey!$G239)</f>
        <v>0</v>
      </c>
      <c r="J239" t="s">
        <v>127</v>
      </c>
      <c r="M239" t="s">
        <v>872</v>
      </c>
      <c r="N239" t="s">
        <v>92</v>
      </c>
      <c r="O239">
        <f>INDEX(PlasticsDataCompilation!$D$20:$D$36,MATCH(dataforsankey!$P239,PlasticsDataCompilation!$A$20:$A$36,0),1)*INDEX(PlasticsUse!$B$27:$L$43,MATCH(dataforsankey!$P239,PlasticsUse!$A$27:$A$43,0),MATCH($N239,PlasticsUse!$B$26:$L$26,0))</f>
        <v>3.6572862708552097E-2</v>
      </c>
      <c r="P239" t="s">
        <v>8</v>
      </c>
      <c r="S239" t="s">
        <v>99</v>
      </c>
      <c r="T239" t="s">
        <v>330</v>
      </c>
      <c r="U239" s="11">
        <f t="shared" si="28"/>
        <v>0.21224463585269776</v>
      </c>
      <c r="V239" t="s">
        <v>10</v>
      </c>
      <c r="Y239" s="177" t="s">
        <v>99</v>
      </c>
      <c r="Z239" s="177" t="s">
        <v>330</v>
      </c>
      <c r="AA239" s="178">
        <f>INDEX('In-Use Stocks'!$M$81:$V$97,MATCH(dataforsankey!$AB239,'In-Use Stocks'!$L$81:$L$97,0),MATCH(dataforsankey!$Y239,'In-Use Stocks'!$M$80:$V$80,0))</f>
        <v>0.21224463585269776</v>
      </c>
      <c r="AB239" s="177" t="s">
        <v>10</v>
      </c>
      <c r="AE239" s="177" t="s">
        <v>99</v>
      </c>
      <c r="AF239" s="177" t="s">
        <v>330</v>
      </c>
      <c r="AG239" s="178">
        <f>INDEX('In-Use Stocks'!$M$81:$V$97,MATCH(dataforsankey!$AB239,'In-Use Stocks'!$L$81:$L$97,0),MATCH(dataforsankey!$Y239,'In-Use Stocks'!$M$80:$V$80,0))</f>
        <v>0.21224463585269776</v>
      </c>
      <c r="AH239" s="177" t="s">
        <v>10</v>
      </c>
    </row>
    <row r="240" spans="1:34" x14ac:dyDescent="0.2">
      <c r="A240" s="2" t="s">
        <v>108</v>
      </c>
      <c r="G240" t="s">
        <v>38</v>
      </c>
      <c r="H240" t="s">
        <v>6</v>
      </c>
      <c r="I240">
        <f>SUMIFS('CompilationCalcs - EPA EOL'!$G$4:$G$264,'CompilationCalcs - EPA EOL'!$F$4:$F$264,dataforsankey!$H240,'CompilationCalcs - EPA EOL'!$A$4:$A$264,dataforsankey!$J240,'CompilationCalcs - EPA EOL'!$B$4:$B$264,dataforsankey!$G240)</f>
        <v>0</v>
      </c>
      <c r="J240" t="s">
        <v>122</v>
      </c>
      <c r="M240" t="s">
        <v>872</v>
      </c>
      <c r="N240" t="s">
        <v>103</v>
      </c>
      <c r="O240">
        <f>INDEX(PlasticsDataCompilation!$D$20:$D$36,MATCH(dataforsankey!$P240,PlasticsDataCompilation!$A$20:$A$36,0),1)*INDEX(PlasticsUse!$B$27:$L$43,MATCH(dataforsankey!$P240,PlasticsUse!$A$27:$A$43,0),MATCH($N240,PlasticsUse!$B$26:$L$26,0))</f>
        <v>0</v>
      </c>
      <c r="P240" t="s">
        <v>8</v>
      </c>
      <c r="S240" t="s">
        <v>69</v>
      </c>
      <c r="T240" t="s">
        <v>335</v>
      </c>
      <c r="U240" s="11">
        <f t="shared" si="28"/>
        <v>0.23014749972219758</v>
      </c>
      <c r="V240" t="s">
        <v>10</v>
      </c>
      <c r="Y240" t="s">
        <v>69</v>
      </c>
      <c r="Z240" t="s">
        <v>335</v>
      </c>
      <c r="AA240" s="11">
        <f>SUMIFS($O$23:$O$953,$M$23:$M$953,Y240,$N$23:$N$953,Z240,$P$23:$P$953,AB240)</f>
        <v>0.23014749972219758</v>
      </c>
      <c r="AB240" t="s">
        <v>10</v>
      </c>
      <c r="AE240" t="s">
        <v>69</v>
      </c>
      <c r="AF240" t="s">
        <v>335</v>
      </c>
      <c r="AG240" s="11">
        <f>SUMIFS($O$23:$O$953,$M$23:$M$953,AE240,$N$23:$N$953,AF240,$P$23:$P$953,AH240)</f>
        <v>0.23014749972219758</v>
      </c>
      <c r="AH240" t="s">
        <v>10</v>
      </c>
    </row>
    <row r="241" spans="1:34" x14ac:dyDescent="0.2">
      <c r="G241" t="s">
        <v>38</v>
      </c>
      <c r="H241" t="s">
        <v>6</v>
      </c>
      <c r="I241">
        <f>SUMIFS('CompilationCalcs - EPA EOL'!$G$4:$G$264,'CompilationCalcs - EPA EOL'!$F$4:$F$264,dataforsankey!$H241,'CompilationCalcs - EPA EOL'!$A$4:$A$264,dataforsankey!$J241,'CompilationCalcs - EPA EOL'!$B$4:$B$264,dataforsankey!$G241)</f>
        <v>0</v>
      </c>
      <c r="J241" t="s">
        <v>82</v>
      </c>
      <c r="M241" t="s">
        <v>872</v>
      </c>
      <c r="N241" t="s">
        <v>86</v>
      </c>
      <c r="O241">
        <f>INDEX(PlasticsDataCompilation!$D$20:$D$36,MATCH(dataforsankey!$P241,PlasticsDataCompilation!$A$20:$A$36,0),1)*INDEX(PlasticsUse!$B$27:$L$43,MATCH(dataforsankey!$P241,PlasticsUse!$A$27:$A$43,0),MATCH($N241,PlasticsUse!$B$26:$L$26,0))</f>
        <v>3.6572862708552097E-2</v>
      </c>
      <c r="P241" t="s">
        <v>8</v>
      </c>
      <c r="S241" t="s">
        <v>100</v>
      </c>
      <c r="T241" t="s">
        <v>330</v>
      </c>
      <c r="U241" s="11">
        <f t="shared" si="28"/>
        <v>0.16895983316979593</v>
      </c>
      <c r="V241" t="s">
        <v>10</v>
      </c>
      <c r="Y241" s="177" t="s">
        <v>100</v>
      </c>
      <c r="Z241" s="177" t="s">
        <v>330</v>
      </c>
      <c r="AA241" s="178">
        <f>INDEX('In-Use Stocks'!$M$81:$V$97,MATCH(dataforsankey!$AB241,'In-Use Stocks'!$L$81:$L$97,0),MATCH(dataforsankey!$Y241,'In-Use Stocks'!$M$80:$V$80,0))</f>
        <v>0.16895983316979593</v>
      </c>
      <c r="AB241" s="177" t="s">
        <v>10</v>
      </c>
      <c r="AE241" s="177" t="s">
        <v>100</v>
      </c>
      <c r="AF241" s="177" t="s">
        <v>330</v>
      </c>
      <c r="AG241" s="178">
        <f>INDEX('In-Use Stocks'!$M$81:$V$97,MATCH(dataforsankey!$AB241,'In-Use Stocks'!$L$81:$L$97,0),MATCH(dataforsankey!$Y241,'In-Use Stocks'!$M$80:$V$80,0))</f>
        <v>0.16895983316979593</v>
      </c>
      <c r="AH241" s="177" t="s">
        <v>10</v>
      </c>
    </row>
    <row r="242" spans="1:34" x14ac:dyDescent="0.2">
      <c r="A242" t="s">
        <v>20</v>
      </c>
      <c r="B242" t="s">
        <v>21</v>
      </c>
      <c r="C242" t="s">
        <v>22</v>
      </c>
      <c r="D242" t="s">
        <v>70</v>
      </c>
      <c r="G242" t="s">
        <v>99</v>
      </c>
      <c r="H242" t="s">
        <v>4</v>
      </c>
      <c r="I242">
        <f>SUMIFS('CompilationCalcs - EPA EOL'!$G$4:$G$264,'CompilationCalcs - EPA EOL'!$F$4:$F$264,dataforsankey!$H242,'CompilationCalcs - EPA EOL'!$A$4:$A$264,dataforsankey!$J242,'CompilationCalcs - EPA EOL'!$B$4:$B$264,dataforsankey!$G242)</f>
        <v>0</v>
      </c>
      <c r="J242" t="s">
        <v>0</v>
      </c>
      <c r="M242" t="s">
        <v>872</v>
      </c>
      <c r="N242" t="s">
        <v>18</v>
      </c>
      <c r="O242">
        <f>INDEX(PlasticsDataCompilation!$D$20:$D$36,MATCH(dataforsankey!$P242,PlasticsDataCompilation!$A$20:$A$36,0),1)*INDEX(PlasticsUse!$B$27:$L$43,MATCH(dataforsankey!$P242,PlasticsUse!$A$27:$A$43,0),MATCH($N242,PlasticsUse!$B$26:$L$26,0))</f>
        <v>3.6572862708552097E-2</v>
      </c>
      <c r="P242" t="s">
        <v>8</v>
      </c>
      <c r="S242" t="s">
        <v>39</v>
      </c>
      <c r="T242" t="s">
        <v>330</v>
      </c>
      <c r="U242" s="11">
        <f t="shared" si="28"/>
        <v>0.26992462681493734</v>
      </c>
      <c r="V242" t="s">
        <v>10</v>
      </c>
      <c r="Y242" s="177" t="s">
        <v>39</v>
      </c>
      <c r="Z242" s="177" t="s">
        <v>330</v>
      </c>
      <c r="AA242" s="178">
        <f>INDEX('In-Use Stocks'!$M$81:$V$97,MATCH(dataforsankey!$AB242,'In-Use Stocks'!$L$81:$L$97,0),MATCH(dataforsankey!$Y242,'In-Use Stocks'!$M$80:$V$80,0))</f>
        <v>0.26992462681493734</v>
      </c>
      <c r="AB242" s="177" t="s">
        <v>10</v>
      </c>
      <c r="AE242" s="177" t="s">
        <v>39</v>
      </c>
      <c r="AF242" s="177" t="s">
        <v>330</v>
      </c>
      <c r="AG242" s="178">
        <f>INDEX('In-Use Stocks'!$M$81:$V$97,MATCH(dataforsankey!$AB242,'In-Use Stocks'!$L$81:$L$97,0),MATCH(dataforsankey!$Y242,'In-Use Stocks'!$M$80:$V$80,0))</f>
        <v>0.26992462681493734</v>
      </c>
      <c r="AH242" s="177" t="s">
        <v>10</v>
      </c>
    </row>
    <row r="243" spans="1:34" x14ac:dyDescent="0.2">
      <c r="A243" t="s">
        <v>3</v>
      </c>
      <c r="B243" t="s">
        <v>14</v>
      </c>
      <c r="C243" s="172">
        <v>3909.3280112000002</v>
      </c>
      <c r="D243" s="173"/>
      <c r="G243" t="s">
        <v>99</v>
      </c>
      <c r="H243" t="s">
        <v>4</v>
      </c>
      <c r="I243">
        <f>SUMIFS('CompilationCalcs - EPA EOL'!$G$4:$G$264,'CompilationCalcs - EPA EOL'!$F$4:$F$264,dataforsankey!$H243,'CompilationCalcs - EPA EOL'!$A$4:$A$264,dataforsankey!$J243,'CompilationCalcs - EPA EOL'!$B$4:$B$264,dataforsankey!$G243)</f>
        <v>0</v>
      </c>
      <c r="J243" t="s">
        <v>2</v>
      </c>
      <c r="M243" t="s">
        <v>872</v>
      </c>
      <c r="N243" t="s">
        <v>38</v>
      </c>
      <c r="O243">
        <f>INDEX(PlasticsDataCompilation!$D$20:$D$36,MATCH(dataforsankey!$P243,PlasticsDataCompilation!$A$20:$A$36,0),1)*INDEX(PlasticsUse!$B$27:$L$43,MATCH(dataforsankey!$P243,PlasticsUse!$A$27:$A$43,0),MATCH($N243,PlasticsUse!$B$26:$L$26,0))</f>
        <v>4.4622967636497122E-3</v>
      </c>
      <c r="P243" t="s">
        <v>19</v>
      </c>
      <c r="S243" t="s">
        <v>68</v>
      </c>
      <c r="T243" t="s">
        <v>330</v>
      </c>
      <c r="U243" s="11">
        <f t="shared" si="28"/>
        <v>0.23981649612723338</v>
      </c>
      <c r="V243" t="s">
        <v>10</v>
      </c>
      <c r="Y243" s="177" t="s">
        <v>68</v>
      </c>
      <c r="Z243" s="177" t="s">
        <v>330</v>
      </c>
      <c r="AA243" s="178">
        <f>INDEX('In-Use Stocks'!$M$81:$V$97,MATCH(dataforsankey!$AB243,'In-Use Stocks'!$L$81:$L$97,0),MATCH(dataforsankey!$Y243,'In-Use Stocks'!$M$80:$V$80,0))</f>
        <v>0.23981649612723338</v>
      </c>
      <c r="AB243" s="177" t="s">
        <v>10</v>
      </c>
      <c r="AE243" s="177" t="s">
        <v>68</v>
      </c>
      <c r="AF243" s="177" t="s">
        <v>330</v>
      </c>
      <c r="AG243" s="178">
        <f>INDEX('In-Use Stocks'!$M$81:$V$97,MATCH(dataforsankey!$AB243,'In-Use Stocks'!$L$81:$L$97,0),MATCH(dataforsankey!$Y243,'In-Use Stocks'!$M$80:$V$80,0))</f>
        <v>0.23981649612723338</v>
      </c>
      <c r="AH243" s="177" t="s">
        <v>10</v>
      </c>
    </row>
    <row r="244" spans="1:34" x14ac:dyDescent="0.2">
      <c r="A244" t="s">
        <v>3</v>
      </c>
      <c r="B244" t="s">
        <v>15</v>
      </c>
      <c r="C244" s="172">
        <v>128.86548720000002</v>
      </c>
      <c r="G244" t="s">
        <v>99</v>
      </c>
      <c r="H244" t="s">
        <v>4</v>
      </c>
      <c r="I244">
        <f>SUMIFS('CompilationCalcs - EPA EOL'!$G$4:$G$264,'CompilationCalcs - EPA EOL'!$F$4:$F$264,dataforsankey!$H244,'CompilationCalcs - EPA EOL'!$A$4:$A$264,dataforsankey!$J244,'CompilationCalcs - EPA EOL'!$B$4:$B$264,dataforsankey!$G244)</f>
        <v>4.6280150278259401E-2</v>
      </c>
      <c r="J244" t="s">
        <v>1</v>
      </c>
      <c r="M244" t="s">
        <v>872</v>
      </c>
      <c r="N244" t="s">
        <v>99</v>
      </c>
      <c r="O244">
        <f>INDEX(PlasticsDataCompilation!$D$20:$D$36,MATCH(dataforsankey!$P244,PlasticsDataCompilation!$A$20:$A$36,0),1)*INDEX(PlasticsUse!$B$27:$L$43,MATCH(dataforsankey!$P244,PlasticsUse!$A$27:$A$43,0),MATCH($N244,PlasticsUse!$B$26:$L$26,0))</f>
        <v>4.4622967636497122E-3</v>
      </c>
      <c r="P244" t="s">
        <v>19</v>
      </c>
      <c r="S244" t="s">
        <v>63</v>
      </c>
      <c r="T244" t="s">
        <v>330</v>
      </c>
      <c r="U244" s="11">
        <f t="shared" si="28"/>
        <v>0.21945207345504694</v>
      </c>
      <c r="V244" t="s">
        <v>10</v>
      </c>
      <c r="Y244" s="177" t="s">
        <v>63</v>
      </c>
      <c r="Z244" s="177" t="s">
        <v>330</v>
      </c>
      <c r="AA244" s="178">
        <f>INDEX('In-Use Stocks'!$M$81:$V$97,MATCH(dataforsankey!$AB244,'In-Use Stocks'!$L$81:$L$97,0),MATCH(dataforsankey!$Y244,'In-Use Stocks'!$M$80:$V$80,0))</f>
        <v>0.21945207345504694</v>
      </c>
      <c r="AB244" s="177" t="s">
        <v>10</v>
      </c>
      <c r="AE244" s="177" t="s">
        <v>63</v>
      </c>
      <c r="AF244" s="177" t="s">
        <v>330</v>
      </c>
      <c r="AG244" s="178">
        <f>INDEX('In-Use Stocks'!$M$81:$V$97,MATCH(dataforsankey!$AB244,'In-Use Stocks'!$L$81:$L$97,0),MATCH(dataforsankey!$Y244,'In-Use Stocks'!$M$80:$V$80,0))</f>
        <v>0.21945207345504694</v>
      </c>
      <c r="AH244" s="177" t="s">
        <v>10</v>
      </c>
    </row>
    <row r="245" spans="1:34" x14ac:dyDescent="0.2">
      <c r="A245" t="s">
        <v>8</v>
      </c>
      <c r="B245" t="s">
        <v>14</v>
      </c>
      <c r="C245" s="172">
        <v>722.57205599999998</v>
      </c>
      <c r="G245" t="s">
        <v>99</v>
      </c>
      <c r="H245" t="s">
        <v>4</v>
      </c>
      <c r="I245">
        <f>SUMIFS('CompilationCalcs - EPA EOL'!$G$4:$G$264,'CompilationCalcs - EPA EOL'!$F$4:$F$264,dataforsankey!$H245,'CompilationCalcs - EPA EOL'!$A$4:$A$264,dataforsankey!$J245,'CompilationCalcs - EPA EOL'!$B$4:$B$264,dataforsankey!$G245)</f>
        <v>0</v>
      </c>
      <c r="J245" t="s">
        <v>7</v>
      </c>
      <c r="M245" t="s">
        <v>872</v>
      </c>
      <c r="N245" t="s">
        <v>69</v>
      </c>
      <c r="O245">
        <f>INDEX(PlasticsDataCompilation!$D$20:$D$36,MATCH(dataforsankey!$P245,PlasticsDataCompilation!$A$20:$A$36,0),1)*INDEX(PlasticsUse!$B$27:$L$43,MATCH(dataforsankey!$P245,PlasticsUse!$A$27:$A$43,0),MATCH($N245,PlasticsUse!$B$26:$L$26,0))</f>
        <v>4.4622967636497122E-3</v>
      </c>
      <c r="P245" t="s">
        <v>19</v>
      </c>
      <c r="S245" t="s">
        <v>92</v>
      </c>
      <c r="T245" t="s">
        <v>330</v>
      </c>
      <c r="U245" s="11">
        <f t="shared" si="28"/>
        <v>0.18986991853623952</v>
      </c>
      <c r="V245" t="s">
        <v>10</v>
      </c>
      <c r="Y245" s="177" t="s">
        <v>92</v>
      </c>
      <c r="Z245" s="177" t="s">
        <v>330</v>
      </c>
      <c r="AA245" s="178">
        <f>INDEX('In-Use Stocks'!$M$81:$V$97,MATCH(dataforsankey!$AB245,'In-Use Stocks'!$L$81:$L$97,0),MATCH(dataforsankey!$Y245,'In-Use Stocks'!$M$80:$V$80,0))</f>
        <v>0.18986991853623952</v>
      </c>
      <c r="AB245" s="177" t="s">
        <v>10</v>
      </c>
      <c r="AE245" s="177" t="s">
        <v>92</v>
      </c>
      <c r="AF245" s="177" t="s">
        <v>330</v>
      </c>
      <c r="AG245" s="178">
        <f>INDEX('In-Use Stocks'!$M$81:$V$97,MATCH(dataforsankey!$AB245,'In-Use Stocks'!$L$81:$L$97,0),MATCH(dataforsankey!$Y245,'In-Use Stocks'!$M$80:$V$80,0))</f>
        <v>0.18986991853623952</v>
      </c>
      <c r="AH245" s="177" t="s">
        <v>10</v>
      </c>
    </row>
    <row r="246" spans="1:34" x14ac:dyDescent="0.2">
      <c r="A246" t="s">
        <v>8</v>
      </c>
      <c r="B246" t="s">
        <v>15</v>
      </c>
      <c r="C246" s="172">
        <v>1461.9270159999999</v>
      </c>
      <c r="G246" t="s">
        <v>99</v>
      </c>
      <c r="H246" t="s">
        <v>4</v>
      </c>
      <c r="I246">
        <f>SUMIFS('CompilationCalcs - EPA EOL'!$G$4:$G$264,'CompilationCalcs - EPA EOL'!$F$4:$F$264,dataforsankey!$H246,'CompilationCalcs - EPA EOL'!$A$4:$A$264,dataforsankey!$J246,'CompilationCalcs - EPA EOL'!$B$4:$B$264,dataforsankey!$G246)</f>
        <v>3.0577956433849963E-2</v>
      </c>
      <c r="J246" t="s">
        <v>8</v>
      </c>
      <c r="M246" t="s">
        <v>872</v>
      </c>
      <c r="N246" t="s">
        <v>100</v>
      </c>
      <c r="O246">
        <f>INDEX(PlasticsDataCompilation!$D$20:$D$36,MATCH(dataforsankey!$P246,PlasticsDataCompilation!$A$20:$A$36,0),1)*INDEX(PlasticsUse!$B$27:$L$43,MATCH(dataforsankey!$P246,PlasticsUse!$A$27:$A$43,0),MATCH($N246,PlasticsUse!$B$26:$L$26,0))</f>
        <v>4.4622967636497122E-3</v>
      </c>
      <c r="P246" t="s">
        <v>19</v>
      </c>
      <c r="S246" t="s">
        <v>103</v>
      </c>
      <c r="T246" t="s">
        <v>330</v>
      </c>
      <c r="U246" s="11">
        <f t="shared" si="28"/>
        <v>0</v>
      </c>
      <c r="V246" t="s">
        <v>10</v>
      </c>
      <c r="Y246" s="177" t="s">
        <v>103</v>
      </c>
      <c r="Z246" s="177" t="s">
        <v>330</v>
      </c>
      <c r="AA246" s="178">
        <f>INDEX('In-Use Stocks'!$M$81:$V$97,MATCH(dataforsankey!$AB246,'In-Use Stocks'!$L$81:$L$97,0),MATCH(dataforsankey!$Y246,'In-Use Stocks'!$M$80:$V$80,0))</f>
        <v>0</v>
      </c>
      <c r="AB246" s="177" t="s">
        <v>10</v>
      </c>
      <c r="AE246" s="177" t="s">
        <v>103</v>
      </c>
      <c r="AF246" s="177" t="s">
        <v>330</v>
      </c>
      <c r="AG246" s="178">
        <f>INDEX('In-Use Stocks'!$M$81:$V$97,MATCH(dataforsankey!$AB246,'In-Use Stocks'!$L$81:$L$97,0),MATCH(dataforsankey!$Y246,'In-Use Stocks'!$M$80:$V$80,0))</f>
        <v>0</v>
      </c>
      <c r="AH246" s="177" t="s">
        <v>10</v>
      </c>
    </row>
    <row r="247" spans="1:34" x14ac:dyDescent="0.2">
      <c r="A247" t="s">
        <v>8</v>
      </c>
      <c r="B247" t="s">
        <v>18</v>
      </c>
      <c r="C247" s="172">
        <v>1295.0051600000002</v>
      </c>
      <c r="G247" t="s">
        <v>99</v>
      </c>
      <c r="H247" t="s">
        <v>4</v>
      </c>
      <c r="I247">
        <f>SUMIFS('CompilationCalcs - EPA EOL'!$G$4:$G$264,'CompilationCalcs - EPA EOL'!$F$4:$F$264,dataforsankey!$H247,'CompilationCalcs - EPA EOL'!$A$4:$A$264,dataforsankey!$J247,'CompilationCalcs - EPA EOL'!$B$4:$B$264,dataforsankey!$G247)</f>
        <v>0</v>
      </c>
      <c r="J247" t="s">
        <v>9</v>
      </c>
      <c r="M247" t="s">
        <v>872</v>
      </c>
      <c r="N247" t="s">
        <v>39</v>
      </c>
      <c r="O247">
        <f>INDEX(PlasticsDataCompilation!$D$20:$D$36,MATCH(dataforsankey!$P247,PlasticsDataCompilation!$A$20:$A$36,0),1)*INDEX(PlasticsUse!$B$27:$L$43,MATCH(dataforsankey!$P247,PlasticsUse!$A$27:$A$43,0),MATCH($N247,PlasticsUse!$B$26:$L$26,0))</f>
        <v>4.4622967636497122E-3</v>
      </c>
      <c r="P247" t="s">
        <v>19</v>
      </c>
      <c r="S247" t="s">
        <v>86</v>
      </c>
      <c r="T247" t="s">
        <v>330</v>
      </c>
      <c r="U247" s="11">
        <f t="shared" si="28"/>
        <v>0.18986991853623952</v>
      </c>
      <c r="V247" t="s">
        <v>10</v>
      </c>
      <c r="Y247" s="177" t="s">
        <v>86</v>
      </c>
      <c r="Z247" s="177" t="s">
        <v>330</v>
      </c>
      <c r="AA247" s="178">
        <f>INDEX('In-Use Stocks'!$M$81:$V$97,MATCH(dataforsankey!$AB247,'In-Use Stocks'!$L$81:$L$97,0),MATCH(dataforsankey!$Y247,'In-Use Stocks'!$M$80:$V$80,0))</f>
        <v>0.18986991853623952</v>
      </c>
      <c r="AB247" s="177" t="s">
        <v>10</v>
      </c>
      <c r="AE247" s="177" t="s">
        <v>86</v>
      </c>
      <c r="AF247" s="177" t="s">
        <v>330</v>
      </c>
      <c r="AG247" s="178">
        <f>INDEX('In-Use Stocks'!$M$81:$V$97,MATCH(dataforsankey!$AB247,'In-Use Stocks'!$L$81:$L$97,0),MATCH(dataforsankey!$Y247,'In-Use Stocks'!$M$80:$V$80,0))</f>
        <v>0.18986991853623952</v>
      </c>
      <c r="AH247" s="177" t="s">
        <v>10</v>
      </c>
    </row>
    <row r="248" spans="1:34" x14ac:dyDescent="0.2">
      <c r="A248" t="s">
        <v>19</v>
      </c>
      <c r="B248" t="s">
        <v>14</v>
      </c>
      <c r="C248" s="172">
        <v>2079.2657280000003</v>
      </c>
      <c r="G248" t="s">
        <v>99</v>
      </c>
      <c r="H248" t="s">
        <v>4</v>
      </c>
      <c r="I248">
        <f>SUMIFS('CompilationCalcs - EPA EOL'!$G$4:$G$264,'CompilationCalcs - EPA EOL'!$F$4:$F$264,dataforsankey!$H248,'CompilationCalcs - EPA EOL'!$A$4:$A$264,dataforsankey!$J248,'CompilationCalcs - EPA EOL'!$B$4:$B$264,dataforsankey!$G248)</f>
        <v>4.1321562748445895E-3</v>
      </c>
      <c r="J248" t="s">
        <v>10</v>
      </c>
      <c r="M248" t="s">
        <v>872</v>
      </c>
      <c r="N248" t="s">
        <v>68</v>
      </c>
      <c r="O248">
        <f>INDEX(PlasticsDataCompilation!$D$20:$D$36,MATCH(dataforsankey!$P248,PlasticsDataCompilation!$A$20:$A$36,0),1)*INDEX(PlasticsUse!$B$27:$L$43,MATCH(dataforsankey!$P248,PlasticsUse!$A$27:$A$43,0),MATCH($N248,PlasticsUse!$B$26:$L$26,0))</f>
        <v>4.4622967636497122E-3</v>
      </c>
      <c r="P248" t="s">
        <v>19</v>
      </c>
      <c r="S248" t="s">
        <v>38</v>
      </c>
      <c r="T248" t="s">
        <v>330</v>
      </c>
      <c r="U248" s="11">
        <f t="shared" si="28"/>
        <v>8.1377116692720922E-2</v>
      </c>
      <c r="V248" t="s">
        <v>11</v>
      </c>
      <c r="Y248" s="177" t="s">
        <v>38</v>
      </c>
      <c r="Z248" s="177" t="s">
        <v>330</v>
      </c>
      <c r="AA248" s="178">
        <f>INDEX('In-Use Stocks'!$M$81:$V$97,MATCH(dataforsankey!$AB248,'In-Use Stocks'!$L$81:$L$97,0),MATCH(dataforsankey!$Y248,'In-Use Stocks'!$M$80:$V$80,0))</f>
        <v>8.1377116692720922E-2</v>
      </c>
      <c r="AB248" s="177" t="s">
        <v>11</v>
      </c>
      <c r="AE248" s="177" t="s">
        <v>38</v>
      </c>
      <c r="AF248" s="177" t="s">
        <v>330</v>
      </c>
      <c r="AG248" s="178">
        <f>INDEX('In-Use Stocks'!$M$81:$V$97,MATCH(dataforsankey!$AB248,'In-Use Stocks'!$L$81:$L$97,0),MATCH(dataforsankey!$Y248,'In-Use Stocks'!$M$80:$V$80,0))</f>
        <v>8.1377116692720922E-2</v>
      </c>
      <c r="AH248" s="177" t="s">
        <v>11</v>
      </c>
    </row>
    <row r="249" spans="1:34" x14ac:dyDescent="0.2">
      <c r="A249" t="s">
        <v>19</v>
      </c>
      <c r="B249" t="s">
        <v>15</v>
      </c>
      <c r="C249" s="172">
        <v>3145.2069280000001</v>
      </c>
      <c r="G249" t="s">
        <v>99</v>
      </c>
      <c r="H249" t="s">
        <v>4</v>
      </c>
      <c r="I249">
        <f>SUMIFS('CompilationCalcs - EPA EOL'!$G$4:$G$264,'CompilationCalcs - EPA EOL'!$F$4:$F$264,dataforsankey!$H249,'CompilationCalcs - EPA EOL'!$A$4:$A$264,dataforsankey!$J249,'CompilationCalcs - EPA EOL'!$B$4:$B$264,dataforsankey!$G249)</f>
        <v>1.6528625099378356E-3</v>
      </c>
      <c r="J249" t="s">
        <v>11</v>
      </c>
      <c r="M249" t="s">
        <v>872</v>
      </c>
      <c r="N249" t="s">
        <v>63</v>
      </c>
      <c r="O249">
        <f>INDEX(PlasticsDataCompilation!$D$20:$D$36,MATCH(dataforsankey!$P249,PlasticsDataCompilation!$A$20:$A$36,0),1)*INDEX(PlasticsUse!$B$27:$L$43,MATCH(dataforsankey!$P249,PlasticsUse!$A$27:$A$43,0),MATCH($N249,PlasticsUse!$B$26:$L$26,0))</f>
        <v>4.4622967636497122E-3</v>
      </c>
      <c r="P249" t="s">
        <v>19</v>
      </c>
      <c r="S249" t="s">
        <v>99</v>
      </c>
      <c r="T249" t="s">
        <v>330</v>
      </c>
      <c r="U249" s="11">
        <f t="shared" si="28"/>
        <v>0.19800444977728901</v>
      </c>
      <c r="V249" t="s">
        <v>11</v>
      </c>
      <c r="Y249" s="177" t="s">
        <v>99</v>
      </c>
      <c r="Z249" s="177" t="s">
        <v>330</v>
      </c>
      <c r="AA249" s="178">
        <f>INDEX('In-Use Stocks'!$M$81:$V$97,MATCH(dataforsankey!$AB249,'In-Use Stocks'!$L$81:$L$97,0),MATCH(dataforsankey!$Y249,'In-Use Stocks'!$M$80:$V$80,0))</f>
        <v>0.19800444977728901</v>
      </c>
      <c r="AB249" s="177" t="s">
        <v>11</v>
      </c>
      <c r="AE249" s="177" t="s">
        <v>99</v>
      </c>
      <c r="AF249" s="177" t="s">
        <v>330</v>
      </c>
      <c r="AG249" s="178">
        <f>INDEX('In-Use Stocks'!$M$81:$V$97,MATCH(dataforsankey!$AB249,'In-Use Stocks'!$L$81:$L$97,0),MATCH(dataforsankey!$Y249,'In-Use Stocks'!$M$80:$V$80,0))</f>
        <v>0.19800444977728901</v>
      </c>
      <c r="AH249" s="177" t="s">
        <v>11</v>
      </c>
    </row>
    <row r="250" spans="1:34" x14ac:dyDescent="0.2">
      <c r="A250" t="s">
        <v>19</v>
      </c>
      <c r="B250" t="s">
        <v>18</v>
      </c>
      <c r="C250" s="172">
        <v>4008.8460960000002</v>
      </c>
      <c r="G250" t="s">
        <v>99</v>
      </c>
      <c r="H250" t="s">
        <v>4</v>
      </c>
      <c r="I250">
        <f>SUMIFS('CompilationCalcs - EPA EOL'!$G$4:$G$264,'CompilationCalcs - EPA EOL'!$F$4:$F$264,dataforsankey!$H250,'CompilationCalcs - EPA EOL'!$A$4:$A$264,dataforsankey!$J250,'CompilationCalcs - EPA EOL'!$B$4:$B$264,dataforsankey!$G250)</f>
        <v>0</v>
      </c>
      <c r="J250" t="s">
        <v>127</v>
      </c>
      <c r="M250" t="s">
        <v>872</v>
      </c>
      <c r="N250" t="s">
        <v>92</v>
      </c>
      <c r="O250">
        <f>INDEX(PlasticsDataCompilation!$D$20:$D$36,MATCH(dataforsankey!$P250,PlasticsDataCompilation!$A$20:$A$36,0),1)*INDEX(PlasticsUse!$B$27:$L$43,MATCH(dataforsankey!$P250,PlasticsUse!$A$27:$A$43,0),MATCH($N250,PlasticsUse!$B$26:$L$26,0))</f>
        <v>4.4622967636497122E-3</v>
      </c>
      <c r="P250" t="s">
        <v>19</v>
      </c>
      <c r="S250" t="s">
        <v>69</v>
      </c>
      <c r="T250" t="s">
        <v>335</v>
      </c>
      <c r="U250" s="11">
        <f t="shared" si="28"/>
        <v>0.21470615201667198</v>
      </c>
      <c r="V250" t="s">
        <v>11</v>
      </c>
      <c r="Y250" t="s">
        <v>69</v>
      </c>
      <c r="Z250" t="s">
        <v>335</v>
      </c>
      <c r="AA250" s="11">
        <f>SUMIFS($O$23:$O$953,$M$23:$M$953,Y250,$N$23:$N$953,Z250,$P$23:$P$953,AB250)</f>
        <v>0.21470615201667198</v>
      </c>
      <c r="AB250" t="s">
        <v>11</v>
      </c>
      <c r="AE250" t="s">
        <v>69</v>
      </c>
      <c r="AF250" t="s">
        <v>335</v>
      </c>
      <c r="AG250" s="11">
        <f>SUMIFS($O$23:$O$953,$M$23:$M$953,AE250,$N$23:$N$953,AF250,$P$23:$P$953,AH250)</f>
        <v>0.21470615201667198</v>
      </c>
      <c r="AH250" t="s">
        <v>11</v>
      </c>
    </row>
    <row r="251" spans="1:34" x14ac:dyDescent="0.2">
      <c r="A251" t="s">
        <v>1</v>
      </c>
      <c r="B251" t="s">
        <v>14</v>
      </c>
      <c r="C251" s="172">
        <v>3054.4885279999999</v>
      </c>
      <c r="G251" t="s">
        <v>99</v>
      </c>
      <c r="H251" t="s">
        <v>4</v>
      </c>
      <c r="I251">
        <f>SUMIFS('CompilationCalcs - EPA EOL'!$G$4:$G$264,'CompilationCalcs - EPA EOL'!$F$4:$F$264,dataforsankey!$H251,'CompilationCalcs - EPA EOL'!$A$4:$A$264,dataforsankey!$J251,'CompilationCalcs - EPA EOL'!$B$4:$B$264,dataforsankey!$G251)</f>
        <v>0</v>
      </c>
      <c r="J251" t="s">
        <v>122</v>
      </c>
      <c r="M251" t="s">
        <v>872</v>
      </c>
      <c r="N251" t="s">
        <v>103</v>
      </c>
      <c r="O251">
        <f>INDEX(PlasticsDataCompilation!$D$20:$D$36,MATCH(dataforsankey!$P251,PlasticsDataCompilation!$A$20:$A$36,0),1)*INDEX(PlasticsUse!$B$27:$L$43,MATCH(dataforsankey!$P251,PlasticsUse!$A$27:$A$43,0),MATCH($N251,PlasticsUse!$B$26:$L$26,0))</f>
        <v>0</v>
      </c>
      <c r="P251" t="s">
        <v>19</v>
      </c>
      <c r="S251" t="s">
        <v>100</v>
      </c>
      <c r="T251" t="s">
        <v>330</v>
      </c>
      <c r="U251" s="11">
        <f t="shared" si="28"/>
        <v>0.15762376592860666</v>
      </c>
      <c r="V251" t="s">
        <v>11</v>
      </c>
      <c r="Y251" s="177" t="s">
        <v>100</v>
      </c>
      <c r="Z251" s="177" t="s">
        <v>330</v>
      </c>
      <c r="AA251" s="178">
        <f>INDEX('In-Use Stocks'!$M$81:$V$97,MATCH(dataforsankey!$AB251,'In-Use Stocks'!$L$81:$L$97,0),MATCH(dataforsankey!$Y251,'In-Use Stocks'!$M$80:$V$80,0))</f>
        <v>0.15762376592860666</v>
      </c>
      <c r="AB251" s="177" t="s">
        <v>11</v>
      </c>
      <c r="AE251" s="177" t="s">
        <v>100</v>
      </c>
      <c r="AF251" s="177" t="s">
        <v>330</v>
      </c>
      <c r="AG251" s="178">
        <f>INDEX('In-Use Stocks'!$M$81:$V$97,MATCH(dataforsankey!$AB251,'In-Use Stocks'!$L$81:$L$97,0),MATCH(dataforsankey!$Y251,'In-Use Stocks'!$M$80:$V$80,0))</f>
        <v>0.15762376592860666</v>
      </c>
      <c r="AH251" s="177" t="s">
        <v>11</v>
      </c>
    </row>
    <row r="252" spans="1:34" x14ac:dyDescent="0.2">
      <c r="A252" t="s">
        <v>1</v>
      </c>
      <c r="B252" t="s">
        <v>15</v>
      </c>
      <c r="C252" s="172">
        <v>3741.2268160000003</v>
      </c>
      <c r="G252" t="s">
        <v>99</v>
      </c>
      <c r="H252" t="s">
        <v>4</v>
      </c>
      <c r="I252">
        <f>SUMIFS('CompilationCalcs - EPA EOL'!$G$4:$G$264,'CompilationCalcs - EPA EOL'!$F$4:$F$264,dataforsankey!$H252,'CompilationCalcs - EPA EOL'!$A$4:$A$264,dataforsankey!$J252,'CompilationCalcs - EPA EOL'!$B$4:$B$264,dataforsankey!$G252)</f>
        <v>9.1733869301549878E-2</v>
      </c>
      <c r="J252" t="s">
        <v>82</v>
      </c>
      <c r="M252" t="s">
        <v>872</v>
      </c>
      <c r="N252" t="s">
        <v>86</v>
      </c>
      <c r="O252">
        <f>INDEX(PlasticsDataCompilation!$D$20:$D$36,MATCH(dataforsankey!$P252,PlasticsDataCompilation!$A$20:$A$36,0),1)*INDEX(PlasticsUse!$B$27:$L$43,MATCH(dataforsankey!$P252,PlasticsUse!$A$27:$A$43,0),MATCH($N252,PlasticsUse!$B$26:$L$26,0))</f>
        <v>4.4622967636497122E-3</v>
      </c>
      <c r="P252" t="s">
        <v>19</v>
      </c>
      <c r="S252" t="s">
        <v>39</v>
      </c>
      <c r="T252" t="s">
        <v>330</v>
      </c>
      <c r="U252" s="11">
        <f t="shared" si="28"/>
        <v>0.2518145016909854</v>
      </c>
      <c r="V252" t="s">
        <v>11</v>
      </c>
      <c r="Y252" s="177" t="s">
        <v>39</v>
      </c>
      <c r="Z252" s="177" t="s">
        <v>330</v>
      </c>
      <c r="AA252" s="178">
        <f>INDEX('In-Use Stocks'!$M$81:$V$97,MATCH(dataforsankey!$AB252,'In-Use Stocks'!$L$81:$L$97,0),MATCH(dataforsankey!$Y252,'In-Use Stocks'!$M$80:$V$80,0))</f>
        <v>0.2518145016909854</v>
      </c>
      <c r="AB252" s="177" t="s">
        <v>11</v>
      </c>
      <c r="AE252" s="177" t="s">
        <v>39</v>
      </c>
      <c r="AF252" s="177" t="s">
        <v>330</v>
      </c>
      <c r="AG252" s="178">
        <f>INDEX('In-Use Stocks'!$M$81:$V$97,MATCH(dataforsankey!$AB252,'In-Use Stocks'!$L$81:$L$97,0),MATCH(dataforsankey!$Y252,'In-Use Stocks'!$M$80:$V$80,0))</f>
        <v>0.2518145016909854</v>
      </c>
      <c r="AH252" s="177" t="s">
        <v>11</v>
      </c>
    </row>
    <row r="253" spans="1:34" x14ac:dyDescent="0.2">
      <c r="A253" t="s">
        <v>1</v>
      </c>
      <c r="B253" t="s">
        <v>18</v>
      </c>
      <c r="C253" s="172">
        <v>3361.5703119999998</v>
      </c>
      <c r="G253" t="s">
        <v>99</v>
      </c>
      <c r="H253" t="s">
        <v>5</v>
      </c>
      <c r="I253">
        <f>SUMIFS('CompilationCalcs - EPA EOL'!$G$4:$G$264,'CompilationCalcs - EPA EOL'!$F$4:$F$264,dataforsankey!$H253,'CompilationCalcs - EPA EOL'!$A$4:$A$264,dataforsankey!$J253,'CompilationCalcs - EPA EOL'!$B$4:$B$264,dataforsankey!$G253)</f>
        <v>0</v>
      </c>
      <c r="J253" t="s">
        <v>0</v>
      </c>
      <c r="M253" t="s">
        <v>872</v>
      </c>
      <c r="N253" t="s">
        <v>18</v>
      </c>
      <c r="O253">
        <f>INDEX(PlasticsDataCompilation!$D$20:$D$36,MATCH(dataforsankey!$P253,PlasticsDataCompilation!$A$20:$A$36,0),1)*INDEX(PlasticsUse!$B$27:$L$43,MATCH(dataforsankey!$P253,PlasticsUse!$A$27:$A$43,0),MATCH($N253,PlasticsUse!$B$26:$L$26,0))</f>
        <v>4.4622967636497122E-3</v>
      </c>
      <c r="P253" t="s">
        <v>19</v>
      </c>
      <c r="S253" t="s">
        <v>68</v>
      </c>
      <c r="T253" t="s">
        <v>330</v>
      </c>
      <c r="U253" s="11">
        <f t="shared" si="28"/>
        <v>0.22372642386187613</v>
      </c>
      <c r="V253" t="s">
        <v>11</v>
      </c>
      <c r="Y253" s="177" t="s">
        <v>68</v>
      </c>
      <c r="Z253" s="177" t="s">
        <v>330</v>
      </c>
      <c r="AA253" s="178">
        <f>INDEX('In-Use Stocks'!$M$81:$V$97,MATCH(dataforsankey!$AB253,'In-Use Stocks'!$L$81:$L$97,0),MATCH(dataforsankey!$Y253,'In-Use Stocks'!$M$80:$V$80,0))</f>
        <v>0.22372642386187613</v>
      </c>
      <c r="AB253" s="177" t="s">
        <v>11</v>
      </c>
      <c r="AE253" s="177" t="s">
        <v>68</v>
      </c>
      <c r="AF253" s="177" t="s">
        <v>330</v>
      </c>
      <c r="AG253" s="178">
        <f>INDEX('In-Use Stocks'!$M$81:$V$97,MATCH(dataforsankey!$AB253,'In-Use Stocks'!$L$81:$L$97,0),MATCH(dataforsankey!$Y253,'In-Use Stocks'!$M$80:$V$80,0))</f>
        <v>0.22372642386187613</v>
      </c>
      <c r="AH253" s="177" t="s">
        <v>11</v>
      </c>
    </row>
    <row r="254" spans="1:34" x14ac:dyDescent="0.2">
      <c r="A254" t="s">
        <v>10</v>
      </c>
      <c r="B254" t="s">
        <v>14</v>
      </c>
      <c r="C254" s="172">
        <v>4526.3945679999997</v>
      </c>
      <c r="G254" t="s">
        <v>99</v>
      </c>
      <c r="H254" t="s">
        <v>5</v>
      </c>
      <c r="I254">
        <f>SUMIFS('CompilationCalcs - EPA EOL'!$G$4:$G$264,'CompilationCalcs - EPA EOL'!$F$4:$F$264,dataforsankey!$H254,'CompilationCalcs - EPA EOL'!$A$4:$A$264,dataforsankey!$J254,'CompilationCalcs - EPA EOL'!$B$4:$B$264,dataforsankey!$G254)</f>
        <v>0</v>
      </c>
      <c r="J254" t="s">
        <v>2</v>
      </c>
      <c r="M254" t="s">
        <v>872</v>
      </c>
      <c r="N254" t="s">
        <v>38</v>
      </c>
      <c r="O254">
        <f>INDEX(PlasticsDataCompilation!$D$20:$D$36,MATCH(dataforsankey!$P254,PlasticsDataCompilation!$A$20:$A$36,0),1)*INDEX(PlasticsUse!$B$27:$L$43,MATCH(dataforsankey!$P254,PlasticsUse!$A$27:$A$43,0),MATCH($N254,PlasticsUse!$B$26:$L$26,0))</f>
        <v>8.8390798044780713E-2</v>
      </c>
      <c r="P254" t="s">
        <v>1</v>
      </c>
      <c r="S254" t="s">
        <v>63</v>
      </c>
      <c r="T254" t="s">
        <v>330</v>
      </c>
      <c r="U254" s="11">
        <f t="shared" si="28"/>
        <v>0.20472831684240408</v>
      </c>
      <c r="V254" t="s">
        <v>11</v>
      </c>
      <c r="Y254" s="177" t="s">
        <v>63</v>
      </c>
      <c r="Z254" s="177" t="s">
        <v>330</v>
      </c>
      <c r="AA254" s="178">
        <f>INDEX('In-Use Stocks'!$M$81:$V$97,MATCH(dataforsankey!$AB254,'In-Use Stocks'!$L$81:$L$97,0),MATCH(dataforsankey!$Y254,'In-Use Stocks'!$M$80:$V$80,0))</f>
        <v>0.20472831684240408</v>
      </c>
      <c r="AB254" s="177" t="s">
        <v>11</v>
      </c>
      <c r="AE254" s="177" t="s">
        <v>63</v>
      </c>
      <c r="AF254" s="177" t="s">
        <v>330</v>
      </c>
      <c r="AG254" s="178">
        <f>INDEX('In-Use Stocks'!$M$81:$V$97,MATCH(dataforsankey!$AB254,'In-Use Stocks'!$L$81:$L$97,0),MATCH(dataforsankey!$Y254,'In-Use Stocks'!$M$80:$V$80,0))</f>
        <v>0.20472831684240408</v>
      </c>
      <c r="AH254" s="177" t="s">
        <v>11</v>
      </c>
    </row>
    <row r="255" spans="1:34" x14ac:dyDescent="0.2">
      <c r="A255" t="s">
        <v>10</v>
      </c>
      <c r="B255" t="s">
        <v>15</v>
      </c>
      <c r="C255" s="172">
        <v>2972.8419680000002</v>
      </c>
      <c r="G255" t="s">
        <v>99</v>
      </c>
      <c r="H255" t="s">
        <v>5</v>
      </c>
      <c r="I255">
        <f>SUMIFS('CompilationCalcs - EPA EOL'!$G$4:$G$264,'CompilationCalcs - EPA EOL'!$F$4:$F$264,dataforsankey!$H255,'CompilationCalcs - EPA EOL'!$A$4:$A$264,dataforsankey!$J255,'CompilationCalcs - EPA EOL'!$B$4:$B$264,dataforsankey!$G255)</f>
        <v>8.2643125496891789E-3</v>
      </c>
      <c r="J255" t="s">
        <v>1</v>
      </c>
      <c r="M255" t="s">
        <v>872</v>
      </c>
      <c r="N255" t="s">
        <v>99</v>
      </c>
      <c r="O255">
        <f>INDEX(PlasticsDataCompilation!$D$20:$D$36,MATCH(dataforsankey!$P255,PlasticsDataCompilation!$A$20:$A$36,0),1)*INDEX(PlasticsUse!$B$27:$L$43,MATCH(dataforsankey!$P255,PlasticsUse!$A$27:$A$43,0),MATCH($N255,PlasticsUse!$B$26:$L$26,0))</f>
        <v>8.8390798044780713E-2</v>
      </c>
      <c r="P255" t="s">
        <v>1</v>
      </c>
      <c r="S255" t="s">
        <v>92</v>
      </c>
      <c r="T255" t="s">
        <v>330</v>
      </c>
      <c r="U255" s="11">
        <f t="shared" si="28"/>
        <v>0.17713092534936231</v>
      </c>
      <c r="V255" t="s">
        <v>11</v>
      </c>
      <c r="Y255" s="177" t="s">
        <v>92</v>
      </c>
      <c r="Z255" s="177" t="s">
        <v>330</v>
      </c>
      <c r="AA255" s="178">
        <f>INDEX('In-Use Stocks'!$M$81:$V$97,MATCH(dataforsankey!$AB255,'In-Use Stocks'!$L$81:$L$97,0),MATCH(dataforsankey!$Y255,'In-Use Stocks'!$M$80:$V$80,0))</f>
        <v>0.17713092534936231</v>
      </c>
      <c r="AB255" s="177" t="s">
        <v>11</v>
      </c>
      <c r="AE255" s="177" t="s">
        <v>92</v>
      </c>
      <c r="AF255" s="177" t="s">
        <v>330</v>
      </c>
      <c r="AG255" s="178">
        <f>INDEX('In-Use Stocks'!$M$81:$V$97,MATCH(dataforsankey!$AB255,'In-Use Stocks'!$L$81:$L$97,0),MATCH(dataforsankey!$Y255,'In-Use Stocks'!$M$80:$V$80,0))</f>
        <v>0.17713092534936231</v>
      </c>
      <c r="AH255" s="177" t="s">
        <v>11</v>
      </c>
    </row>
    <row r="256" spans="1:34" x14ac:dyDescent="0.2">
      <c r="A256" t="s">
        <v>10</v>
      </c>
      <c r="B256" t="s">
        <v>18</v>
      </c>
      <c r="C256" s="172">
        <v>292.56684000000001</v>
      </c>
      <c r="G256" t="s">
        <v>99</v>
      </c>
      <c r="H256" t="s">
        <v>5</v>
      </c>
      <c r="I256">
        <f>SUMIFS('CompilationCalcs - EPA EOL'!$G$4:$G$264,'CompilationCalcs - EPA EOL'!$F$4:$F$264,dataforsankey!$H256,'CompilationCalcs - EPA EOL'!$A$4:$A$264,dataforsankey!$J256,'CompilationCalcs - EPA EOL'!$B$4:$B$264,dataforsankey!$G256)</f>
        <v>0</v>
      </c>
      <c r="J256" t="s">
        <v>7</v>
      </c>
      <c r="M256" t="s">
        <v>872</v>
      </c>
      <c r="N256" t="s">
        <v>69</v>
      </c>
      <c r="O256">
        <f>INDEX(PlasticsDataCompilation!$D$20:$D$36,MATCH(dataforsankey!$P256,PlasticsDataCompilation!$A$20:$A$36,0),1)*INDEX(PlasticsUse!$B$27:$L$43,MATCH(dataforsankey!$P256,PlasticsUse!$A$27:$A$43,0),MATCH($N256,PlasticsUse!$B$26:$L$26,0))</f>
        <v>8.8390798044780713E-2</v>
      </c>
      <c r="P256" t="s">
        <v>1</v>
      </c>
      <c r="S256" t="s">
        <v>103</v>
      </c>
      <c r="T256" t="s">
        <v>330</v>
      </c>
      <c r="U256" s="11">
        <f t="shared" si="28"/>
        <v>0</v>
      </c>
      <c r="V256" t="s">
        <v>11</v>
      </c>
      <c r="Y256" s="177" t="s">
        <v>103</v>
      </c>
      <c r="Z256" s="177" t="s">
        <v>330</v>
      </c>
      <c r="AA256" s="178">
        <f>INDEX('In-Use Stocks'!$M$81:$V$97,MATCH(dataforsankey!$AB256,'In-Use Stocks'!$L$81:$L$97,0),MATCH(dataforsankey!$Y256,'In-Use Stocks'!$M$80:$V$80,0))</f>
        <v>0</v>
      </c>
      <c r="AB256" s="177" t="s">
        <v>11</v>
      </c>
      <c r="AE256" s="177" t="s">
        <v>103</v>
      </c>
      <c r="AF256" s="177" t="s">
        <v>330</v>
      </c>
      <c r="AG256" s="178">
        <f>INDEX('In-Use Stocks'!$M$81:$V$97,MATCH(dataforsankey!$AB256,'In-Use Stocks'!$L$81:$L$97,0),MATCH(dataforsankey!$Y256,'In-Use Stocks'!$M$80:$V$80,0))</f>
        <v>0</v>
      </c>
      <c r="AH256" s="177" t="s">
        <v>11</v>
      </c>
    </row>
    <row r="257" spans="1:34" x14ac:dyDescent="0.2">
      <c r="A257" t="s">
        <v>11</v>
      </c>
      <c r="B257" t="s">
        <v>14</v>
      </c>
      <c r="C257" s="172">
        <v>1168.9065839999998</v>
      </c>
      <c r="G257" t="s">
        <v>99</v>
      </c>
      <c r="H257" t="s">
        <v>5</v>
      </c>
      <c r="I257">
        <f>SUMIFS('CompilationCalcs - EPA EOL'!$G$4:$G$264,'CompilationCalcs - EPA EOL'!$F$4:$F$264,dataforsankey!$H257,'CompilationCalcs - EPA EOL'!$A$4:$A$264,dataforsankey!$J257,'CompilationCalcs - EPA EOL'!$B$4:$B$264,dataforsankey!$G257)</f>
        <v>0</v>
      </c>
      <c r="J257" t="s">
        <v>8</v>
      </c>
      <c r="M257" t="s">
        <v>872</v>
      </c>
      <c r="N257" t="s">
        <v>100</v>
      </c>
      <c r="O257">
        <f>INDEX(PlasticsDataCompilation!$D$20:$D$36,MATCH(dataforsankey!$P257,PlasticsDataCompilation!$A$20:$A$36,0),1)*INDEX(PlasticsUse!$B$27:$L$43,MATCH(dataforsankey!$P257,PlasticsUse!$A$27:$A$43,0),MATCH($N257,PlasticsUse!$B$26:$L$26,0))</f>
        <v>8.8390798044780713E-2</v>
      </c>
      <c r="P257" t="s">
        <v>1</v>
      </c>
      <c r="S257" t="s">
        <v>86</v>
      </c>
      <c r="T257" t="s">
        <v>330</v>
      </c>
      <c r="U257" s="11">
        <f t="shared" si="28"/>
        <v>0.17713092534936231</v>
      </c>
      <c r="V257" t="s">
        <v>11</v>
      </c>
      <c r="Y257" s="177" t="s">
        <v>86</v>
      </c>
      <c r="Z257" s="177" t="s">
        <v>330</v>
      </c>
      <c r="AA257" s="178">
        <f>INDEX('In-Use Stocks'!$M$81:$V$97,MATCH(dataforsankey!$AB257,'In-Use Stocks'!$L$81:$L$97,0),MATCH(dataforsankey!$Y257,'In-Use Stocks'!$M$80:$V$80,0))</f>
        <v>0.17713092534936231</v>
      </c>
      <c r="AB257" s="177" t="s">
        <v>11</v>
      </c>
      <c r="AE257" s="177" t="s">
        <v>86</v>
      </c>
      <c r="AF257" s="177" t="s">
        <v>330</v>
      </c>
      <c r="AG257" s="178">
        <f>INDEX('In-Use Stocks'!$M$81:$V$97,MATCH(dataforsankey!$AB257,'In-Use Stocks'!$L$81:$L$97,0),MATCH(dataforsankey!$Y257,'In-Use Stocks'!$M$80:$V$80,0))</f>
        <v>0.17713092534936231</v>
      </c>
      <c r="AH257" s="177" t="s">
        <v>11</v>
      </c>
    </row>
    <row r="258" spans="1:34" x14ac:dyDescent="0.2">
      <c r="A258" t="s">
        <v>11</v>
      </c>
      <c r="B258" t="s">
        <v>15</v>
      </c>
      <c r="C258" s="172">
        <v>535.69215199999996</v>
      </c>
      <c r="G258" t="s">
        <v>99</v>
      </c>
      <c r="H258" t="s">
        <v>5</v>
      </c>
      <c r="I258">
        <f>SUMIFS('CompilationCalcs - EPA EOL'!$G$4:$G$264,'CompilationCalcs - EPA EOL'!$F$4:$F$264,dataforsankey!$H258,'CompilationCalcs - EPA EOL'!$A$4:$A$264,dataforsankey!$J258,'CompilationCalcs - EPA EOL'!$B$4:$B$264,dataforsankey!$G258)</f>
        <v>0</v>
      </c>
      <c r="J258" t="s">
        <v>9</v>
      </c>
      <c r="M258" t="s">
        <v>872</v>
      </c>
      <c r="N258" t="s">
        <v>39</v>
      </c>
      <c r="O258">
        <f>INDEX(PlasticsDataCompilation!$D$20:$D$36,MATCH(dataforsankey!$P258,PlasticsDataCompilation!$A$20:$A$36,0),1)*INDEX(PlasticsUse!$B$27:$L$43,MATCH(dataforsankey!$P258,PlasticsUse!$A$27:$A$43,0),MATCH($N258,PlasticsUse!$B$26:$L$26,0))</f>
        <v>8.8390798044780713E-2</v>
      </c>
      <c r="P258" t="s">
        <v>1</v>
      </c>
      <c r="S258" t="s">
        <v>38</v>
      </c>
      <c r="T258" t="s">
        <v>330</v>
      </c>
      <c r="U258" s="11">
        <f t="shared" si="28"/>
        <v>8.3565224365372767E-2</v>
      </c>
      <c r="V258" t="s">
        <v>25</v>
      </c>
      <c r="Y258" s="177" t="s">
        <v>38</v>
      </c>
      <c r="Z258" s="177" t="s">
        <v>330</v>
      </c>
      <c r="AA258" s="178">
        <f>INDEX('In-Use Stocks'!$M$81:$V$97,MATCH(dataforsankey!$AB258,'In-Use Stocks'!$L$81:$L$97,0),MATCH(dataforsankey!$Y258,'In-Use Stocks'!$M$80:$V$80,0))</f>
        <v>8.3565224365372767E-2</v>
      </c>
      <c r="AB258" s="177" t="s">
        <v>25</v>
      </c>
      <c r="AE258" s="177" t="s">
        <v>38</v>
      </c>
      <c r="AF258" s="177" t="s">
        <v>330</v>
      </c>
      <c r="AG258" s="178">
        <f>INDEX('In-Use Stocks'!$M$81:$V$97,MATCH(dataforsankey!$AB258,'In-Use Stocks'!$L$81:$L$97,0),MATCH(dataforsankey!$Y258,'In-Use Stocks'!$M$80:$V$80,0))</f>
        <v>8.3565224365372767E-2</v>
      </c>
      <c r="AH258" s="177" t="s">
        <v>25</v>
      </c>
    </row>
    <row r="259" spans="1:34" x14ac:dyDescent="0.2">
      <c r="A259" t="s">
        <v>11</v>
      </c>
      <c r="B259" t="s">
        <v>18</v>
      </c>
      <c r="C259" s="172">
        <v>70.760351999999997</v>
      </c>
      <c r="G259" t="s">
        <v>99</v>
      </c>
      <c r="H259" t="s">
        <v>5</v>
      </c>
      <c r="I259">
        <f>SUMIFS('CompilationCalcs - EPA EOL'!$G$4:$G$264,'CompilationCalcs - EPA EOL'!$F$4:$F$264,dataforsankey!$H259,'CompilationCalcs - EPA EOL'!$A$4:$A$264,dataforsankey!$J259,'CompilationCalcs - EPA EOL'!$B$4:$B$264,dataforsankey!$G259)</f>
        <v>0</v>
      </c>
      <c r="J259" t="s">
        <v>10</v>
      </c>
      <c r="M259" t="s">
        <v>872</v>
      </c>
      <c r="N259" t="s">
        <v>68</v>
      </c>
      <c r="O259">
        <f>INDEX(PlasticsDataCompilation!$D$20:$D$36,MATCH(dataforsankey!$P259,PlasticsDataCompilation!$A$20:$A$36,0),1)*INDEX(PlasticsUse!$B$27:$L$43,MATCH(dataforsankey!$P259,PlasticsUse!$A$27:$A$43,0),MATCH($N259,PlasticsUse!$B$26:$L$26,0))</f>
        <v>8.8390798044780713E-2</v>
      </c>
      <c r="P259" t="s">
        <v>1</v>
      </c>
      <c r="S259" t="s">
        <v>99</v>
      </c>
      <c r="T259" t="s">
        <v>330</v>
      </c>
      <c r="U259" s="11">
        <f t="shared" si="28"/>
        <v>0.20332849016339483</v>
      </c>
      <c r="V259" t="s">
        <v>25</v>
      </c>
      <c r="Y259" s="177" t="s">
        <v>99</v>
      </c>
      <c r="Z259" s="177" t="s">
        <v>330</v>
      </c>
      <c r="AA259" s="178">
        <f>INDEX('In-Use Stocks'!$M$81:$V$97,MATCH(dataforsankey!$AB259,'In-Use Stocks'!$L$81:$L$97,0),MATCH(dataforsankey!$Y259,'In-Use Stocks'!$M$80:$V$80,0))</f>
        <v>0.20332849016339483</v>
      </c>
      <c r="AB259" s="177" t="s">
        <v>25</v>
      </c>
      <c r="AE259" s="177" t="s">
        <v>99</v>
      </c>
      <c r="AF259" s="177" t="s">
        <v>330</v>
      </c>
      <c r="AG259" s="178">
        <f>INDEX('In-Use Stocks'!$M$81:$V$97,MATCH(dataforsankey!$AB259,'In-Use Stocks'!$L$81:$L$97,0),MATCH(dataforsankey!$Y259,'In-Use Stocks'!$M$80:$V$80,0))</f>
        <v>0.20332849016339483</v>
      </c>
      <c r="AH259" s="177" t="s">
        <v>25</v>
      </c>
    </row>
    <row r="260" spans="1:34" x14ac:dyDescent="0.2">
      <c r="A260" t="s">
        <v>2</v>
      </c>
      <c r="B260" t="s">
        <v>14</v>
      </c>
      <c r="C260" s="172">
        <v>598.74144000000001</v>
      </c>
      <c r="G260" t="s">
        <v>99</v>
      </c>
      <c r="H260" t="s">
        <v>5</v>
      </c>
      <c r="I260">
        <f>SUMIFS('CompilationCalcs - EPA EOL'!$G$4:$G$264,'CompilationCalcs - EPA EOL'!$F$4:$F$264,dataforsankey!$H260,'CompilationCalcs - EPA EOL'!$A$4:$A$264,dataforsankey!$J260,'CompilationCalcs - EPA EOL'!$B$4:$B$264,dataforsankey!$G260)</f>
        <v>0</v>
      </c>
      <c r="J260" t="s">
        <v>11</v>
      </c>
      <c r="M260" t="s">
        <v>872</v>
      </c>
      <c r="N260" t="s">
        <v>63</v>
      </c>
      <c r="O260">
        <f>INDEX(PlasticsDataCompilation!$D$20:$D$36,MATCH(dataforsankey!$P260,PlasticsDataCompilation!$A$20:$A$36,0),1)*INDEX(PlasticsUse!$B$27:$L$43,MATCH(dataforsankey!$P260,PlasticsUse!$A$27:$A$43,0),MATCH($N260,PlasticsUse!$B$26:$L$26,0))</f>
        <v>8.8390798044780713E-2</v>
      </c>
      <c r="P260" t="s">
        <v>1</v>
      </c>
      <c r="S260" t="s">
        <v>69</v>
      </c>
      <c r="T260" t="s">
        <v>335</v>
      </c>
      <c r="U260" s="11">
        <f t="shared" si="28"/>
        <v>0.22047927593266414</v>
      </c>
      <c r="V260" t="s">
        <v>25</v>
      </c>
      <c r="Y260" t="s">
        <v>69</v>
      </c>
      <c r="Z260" t="s">
        <v>335</v>
      </c>
      <c r="AA260" s="11">
        <f>SUMIFS($O$23:$O$953,$M$23:$M$953,Y260,$N$23:$N$953,Z260,$P$23:$P$953,AB260)</f>
        <v>0.22047927593266414</v>
      </c>
      <c r="AB260" t="s">
        <v>25</v>
      </c>
      <c r="AE260" t="s">
        <v>69</v>
      </c>
      <c r="AF260" t="s">
        <v>335</v>
      </c>
      <c r="AG260" s="11">
        <f>SUMIFS($O$23:$O$953,$M$23:$M$953,AE260,$N$23:$N$953,AF260,$P$23:$P$953,AH260)</f>
        <v>0.22047927593266414</v>
      </c>
      <c r="AH260" t="s">
        <v>25</v>
      </c>
    </row>
    <row r="261" spans="1:34" x14ac:dyDescent="0.2">
      <c r="A261" t="s">
        <v>2</v>
      </c>
      <c r="B261" t="s">
        <v>15</v>
      </c>
      <c r="C261" s="172">
        <v>698.53167999999994</v>
      </c>
      <c r="G261" t="s">
        <v>99</v>
      </c>
      <c r="H261" t="s">
        <v>5</v>
      </c>
      <c r="I261">
        <f>SUMIFS('CompilationCalcs - EPA EOL'!$G$4:$G$264,'CompilationCalcs - EPA EOL'!$F$4:$F$264,dataforsankey!$H261,'CompilationCalcs - EPA EOL'!$A$4:$A$264,dataforsankey!$J261,'CompilationCalcs - EPA EOL'!$B$4:$B$264,dataforsankey!$G261)</f>
        <v>0</v>
      </c>
      <c r="J261" t="s">
        <v>127</v>
      </c>
      <c r="M261" t="s">
        <v>872</v>
      </c>
      <c r="N261" t="s">
        <v>92</v>
      </c>
      <c r="O261">
        <f>INDEX(PlasticsDataCompilation!$D$20:$D$36,MATCH(dataforsankey!$P261,PlasticsDataCompilation!$A$20:$A$36,0),1)*INDEX(PlasticsUse!$B$27:$L$43,MATCH(dataforsankey!$P261,PlasticsUse!$A$27:$A$43,0),MATCH($N261,PlasticsUse!$B$26:$L$26,0))</f>
        <v>8.8390798044780713E-2</v>
      </c>
      <c r="P261" t="s">
        <v>1</v>
      </c>
      <c r="S261" t="s">
        <v>100</v>
      </c>
      <c r="T261" t="s">
        <v>330</v>
      </c>
      <c r="U261" s="11">
        <f t="shared" si="28"/>
        <v>0.16186203075830063</v>
      </c>
      <c r="V261" t="s">
        <v>25</v>
      </c>
      <c r="Y261" s="177" t="s">
        <v>100</v>
      </c>
      <c r="Z261" s="177" t="s">
        <v>330</v>
      </c>
      <c r="AA261" s="178">
        <f>INDEX('In-Use Stocks'!$M$81:$V$97,MATCH(dataforsankey!$AB261,'In-Use Stocks'!$L$81:$L$97,0),MATCH(dataforsankey!$Y261,'In-Use Stocks'!$M$80:$V$80,0))</f>
        <v>0.16186203075830063</v>
      </c>
      <c r="AB261" s="177" t="s">
        <v>25</v>
      </c>
      <c r="AE261" s="177" t="s">
        <v>100</v>
      </c>
      <c r="AF261" s="177" t="s">
        <v>330</v>
      </c>
      <c r="AG261" s="178">
        <f>INDEX('In-Use Stocks'!$M$81:$V$97,MATCH(dataforsankey!$AB261,'In-Use Stocks'!$L$81:$L$97,0),MATCH(dataforsankey!$Y261,'In-Use Stocks'!$M$80:$V$80,0))</f>
        <v>0.16186203075830063</v>
      </c>
      <c r="AH261" s="177" t="s">
        <v>25</v>
      </c>
    </row>
    <row r="262" spans="1:34" x14ac:dyDescent="0.2">
      <c r="A262" t="s">
        <v>14</v>
      </c>
      <c r="B262" t="s">
        <v>4</v>
      </c>
      <c r="C262" s="172">
        <v>843.68205</v>
      </c>
      <c r="G262" t="s">
        <v>99</v>
      </c>
      <c r="H262" t="s">
        <v>5</v>
      </c>
      <c r="I262">
        <f>SUMIFS('CompilationCalcs - EPA EOL'!$G$4:$G$264,'CompilationCalcs - EPA EOL'!$F$4:$F$264,dataforsankey!$H262,'CompilationCalcs - EPA EOL'!$A$4:$A$264,dataforsankey!$J262,'CompilationCalcs - EPA EOL'!$B$4:$B$264,dataforsankey!$G262)</f>
        <v>0</v>
      </c>
      <c r="J262" t="s">
        <v>122</v>
      </c>
      <c r="M262" t="s">
        <v>872</v>
      </c>
      <c r="N262" t="s">
        <v>103</v>
      </c>
      <c r="O262">
        <f>INDEX(PlasticsDataCompilation!$D$20:$D$36,MATCH(dataforsankey!$P262,PlasticsDataCompilation!$A$20:$A$36,0),1)*INDEX(PlasticsUse!$B$27:$L$43,MATCH(dataforsankey!$P262,PlasticsUse!$A$27:$A$43,0),MATCH($N262,PlasticsUse!$B$26:$L$26,0))</f>
        <v>0</v>
      </c>
      <c r="P262" t="s">
        <v>1</v>
      </c>
      <c r="S262" t="s">
        <v>39</v>
      </c>
      <c r="T262" t="s">
        <v>330</v>
      </c>
      <c r="U262" s="11">
        <f t="shared" si="28"/>
        <v>0.25858541304332056</v>
      </c>
      <c r="V262" t="s">
        <v>25</v>
      </c>
      <c r="Y262" s="177" t="s">
        <v>39</v>
      </c>
      <c r="Z262" s="177" t="s">
        <v>330</v>
      </c>
      <c r="AA262" s="178">
        <f>INDEX('In-Use Stocks'!$M$81:$V$97,MATCH(dataforsankey!$AB262,'In-Use Stocks'!$L$81:$L$97,0),MATCH(dataforsankey!$Y262,'In-Use Stocks'!$M$80:$V$80,0))</f>
        <v>0.25858541304332056</v>
      </c>
      <c r="AB262" s="177" t="s">
        <v>25</v>
      </c>
      <c r="AE262" s="177" t="s">
        <v>39</v>
      </c>
      <c r="AF262" s="177" t="s">
        <v>330</v>
      </c>
      <c r="AG262" s="178">
        <f>INDEX('In-Use Stocks'!$M$81:$V$97,MATCH(dataforsankey!$AB262,'In-Use Stocks'!$L$81:$L$97,0),MATCH(dataforsankey!$Y262,'In-Use Stocks'!$M$80:$V$80,0))</f>
        <v>0.25858541304332056</v>
      </c>
      <c r="AH262" s="177" t="s">
        <v>25</v>
      </c>
    </row>
    <row r="263" spans="1:34" x14ac:dyDescent="0.2">
      <c r="A263" t="s">
        <v>15</v>
      </c>
      <c r="B263" t="s">
        <v>4</v>
      </c>
      <c r="C263" s="172">
        <f>180*0.907185</f>
        <v>163.29330000000002</v>
      </c>
      <c r="G263" t="s">
        <v>99</v>
      </c>
      <c r="H263" t="s">
        <v>5</v>
      </c>
      <c r="I263">
        <f>SUMIFS('CompilationCalcs - EPA EOL'!$G$4:$G$264,'CompilationCalcs - EPA EOL'!$F$4:$F$264,dataforsankey!$H263,'CompilationCalcs - EPA EOL'!$A$4:$A$264,dataforsankey!$J263,'CompilationCalcs - EPA EOL'!$B$4:$B$264,dataforsankey!$G263)</f>
        <v>0</v>
      </c>
      <c r="J263" t="s">
        <v>82</v>
      </c>
      <c r="M263" t="s">
        <v>872</v>
      </c>
      <c r="N263" t="s">
        <v>86</v>
      </c>
      <c r="O263">
        <f>INDEX(PlasticsDataCompilation!$D$20:$D$36,MATCH(dataforsankey!$P263,PlasticsDataCompilation!$A$20:$A$36,0),1)*INDEX(PlasticsUse!$B$27:$L$43,MATCH(dataforsankey!$P263,PlasticsUse!$A$27:$A$43,0),MATCH($N263,PlasticsUse!$B$26:$L$26,0))</f>
        <v>8.8390798044780713E-2</v>
      </c>
      <c r="P263" t="s">
        <v>1</v>
      </c>
      <c r="S263" t="s">
        <v>68</v>
      </c>
      <c r="T263" t="s">
        <v>330</v>
      </c>
      <c r="U263" s="11">
        <f t="shared" si="28"/>
        <v>0.22974208925434286</v>
      </c>
      <c r="V263" t="s">
        <v>25</v>
      </c>
      <c r="Y263" s="177" t="s">
        <v>68</v>
      </c>
      <c r="Z263" s="177" t="s">
        <v>330</v>
      </c>
      <c r="AA263" s="178">
        <f>INDEX('In-Use Stocks'!$M$81:$V$97,MATCH(dataforsankey!$AB263,'In-Use Stocks'!$L$81:$L$97,0),MATCH(dataforsankey!$Y263,'In-Use Stocks'!$M$80:$V$80,0))</f>
        <v>0.22974208925434286</v>
      </c>
      <c r="AB263" s="177" t="s">
        <v>25</v>
      </c>
      <c r="AE263" s="177" t="s">
        <v>68</v>
      </c>
      <c r="AF263" s="177" t="s">
        <v>330</v>
      </c>
      <c r="AG263" s="178">
        <f>INDEX('In-Use Stocks'!$M$81:$V$97,MATCH(dataforsankey!$AB263,'In-Use Stocks'!$L$81:$L$97,0),MATCH(dataforsankey!$Y263,'In-Use Stocks'!$M$80:$V$80,0))</f>
        <v>0.22974208925434286</v>
      </c>
      <c r="AH263" s="177" t="s">
        <v>25</v>
      </c>
    </row>
    <row r="264" spans="1:34" x14ac:dyDescent="0.2">
      <c r="A264" t="s">
        <v>14</v>
      </c>
      <c r="B264" t="s">
        <v>6</v>
      </c>
      <c r="C264" s="172">
        <f>11020*0.907185</f>
        <v>9997.1787000000004</v>
      </c>
      <c r="G264" t="s">
        <v>99</v>
      </c>
      <c r="H264" t="s">
        <v>6</v>
      </c>
      <c r="I264">
        <f>SUMIFS('CompilationCalcs - EPA EOL'!$G$4:$G$264,'CompilationCalcs - EPA EOL'!$F$4:$F$264,dataforsankey!$H264,'CompilationCalcs - EPA EOL'!$A$4:$A$264,dataforsankey!$J264,'CompilationCalcs - EPA EOL'!$B$4:$B$264,dataforsankey!$G264)</f>
        <v>0</v>
      </c>
      <c r="J264" t="s">
        <v>0</v>
      </c>
      <c r="M264" t="s">
        <v>872</v>
      </c>
      <c r="N264" t="s">
        <v>18</v>
      </c>
      <c r="O264">
        <f>INDEX(PlasticsDataCompilation!$D$20:$D$36,MATCH(dataforsankey!$P264,PlasticsDataCompilation!$A$20:$A$36,0),1)*INDEX(PlasticsUse!$B$27:$L$43,MATCH(dataforsankey!$P264,PlasticsUse!$A$27:$A$43,0),MATCH($N264,PlasticsUse!$B$26:$L$26,0))</f>
        <v>8.8390798044780713E-2</v>
      </c>
      <c r="P264" t="s">
        <v>1</v>
      </c>
      <c r="S264" t="s">
        <v>63</v>
      </c>
      <c r="T264" t="s">
        <v>330</v>
      </c>
      <c r="U264" s="11">
        <f t="shared" si="28"/>
        <v>0.21023315185128602</v>
      </c>
      <c r="V264" t="s">
        <v>25</v>
      </c>
      <c r="Y264" s="177" t="s">
        <v>63</v>
      </c>
      <c r="Z264" s="177" t="s">
        <v>330</v>
      </c>
      <c r="AA264" s="178">
        <f>INDEX('In-Use Stocks'!$M$81:$V$97,MATCH(dataforsankey!$AB264,'In-Use Stocks'!$L$81:$L$97,0),MATCH(dataforsankey!$Y264,'In-Use Stocks'!$M$80:$V$80,0))</f>
        <v>0.21023315185128602</v>
      </c>
      <c r="AB264" s="177" t="s">
        <v>25</v>
      </c>
      <c r="AE264" s="177" t="s">
        <v>63</v>
      </c>
      <c r="AF264" s="177" t="s">
        <v>330</v>
      </c>
      <c r="AG264" s="178">
        <f>INDEX('In-Use Stocks'!$M$81:$V$97,MATCH(dataforsankey!$AB264,'In-Use Stocks'!$L$81:$L$97,0),MATCH(dataforsankey!$Y264,'In-Use Stocks'!$M$80:$V$80,0))</f>
        <v>0.21023315185128602</v>
      </c>
      <c r="AH264" s="177" t="s">
        <v>25</v>
      </c>
    </row>
    <row r="265" spans="1:34" x14ac:dyDescent="0.2">
      <c r="A265" t="s">
        <v>15</v>
      </c>
      <c r="B265" t="s">
        <v>6</v>
      </c>
      <c r="C265" s="172">
        <f>5860*0.907185</f>
        <v>5316.1041000000005</v>
      </c>
      <c r="G265" t="s">
        <v>99</v>
      </c>
      <c r="H265" t="s">
        <v>6</v>
      </c>
      <c r="I265">
        <f>SUMIFS('CompilationCalcs - EPA EOL'!$G$4:$G$264,'CompilationCalcs - EPA EOL'!$F$4:$F$264,dataforsankey!$H265,'CompilationCalcs - EPA EOL'!$A$4:$A$264,dataforsankey!$J265,'CompilationCalcs - EPA EOL'!$B$4:$B$264,dataforsankey!$G265)</f>
        <v>0</v>
      </c>
      <c r="J265" t="s">
        <v>2</v>
      </c>
      <c r="M265" t="s">
        <v>872</v>
      </c>
      <c r="N265" t="s">
        <v>38</v>
      </c>
      <c r="O265">
        <f>INDEX(PlasticsDataCompilation!$D$20:$D$36,MATCH(dataforsankey!$P265,PlasticsDataCompilation!$A$20:$A$36,0),1)*INDEX(PlasticsUse!$B$27:$L$43,MATCH(dataforsankey!$P265,PlasticsUse!$A$27:$A$43,0),MATCH($N265,PlasticsUse!$B$26:$L$26,0))</f>
        <v>2.0411321201018937E-2</v>
      </c>
      <c r="P265" t="s">
        <v>10</v>
      </c>
      <c r="S265" t="s">
        <v>92</v>
      </c>
      <c r="T265" t="s">
        <v>330</v>
      </c>
      <c r="U265" s="11">
        <f t="shared" si="28"/>
        <v>0.18189370821231832</v>
      </c>
      <c r="V265" t="s">
        <v>25</v>
      </c>
      <c r="Y265" s="177" t="s">
        <v>92</v>
      </c>
      <c r="Z265" s="177" t="s">
        <v>330</v>
      </c>
      <c r="AA265" s="178">
        <f>INDEX('In-Use Stocks'!$M$81:$V$97,MATCH(dataforsankey!$AB265,'In-Use Stocks'!$L$81:$L$97,0),MATCH(dataforsankey!$Y265,'In-Use Stocks'!$M$80:$V$80,0))</f>
        <v>0.18189370821231832</v>
      </c>
      <c r="AB265" s="177" t="s">
        <v>25</v>
      </c>
      <c r="AE265" s="177" t="s">
        <v>92</v>
      </c>
      <c r="AF265" s="177" t="s">
        <v>330</v>
      </c>
      <c r="AG265" s="178">
        <f>INDEX('In-Use Stocks'!$M$81:$V$97,MATCH(dataforsankey!$AB265,'In-Use Stocks'!$L$81:$L$97,0),MATCH(dataforsankey!$Y265,'In-Use Stocks'!$M$80:$V$80,0))</f>
        <v>0.18189370821231832</v>
      </c>
      <c r="AH265" s="177" t="s">
        <v>25</v>
      </c>
    </row>
    <row r="266" spans="1:34" x14ac:dyDescent="0.2">
      <c r="A266" t="s">
        <v>14</v>
      </c>
      <c r="B266" t="s">
        <v>23</v>
      </c>
      <c r="C266" s="172">
        <f>1740*0.907185</f>
        <v>1578.5019</v>
      </c>
      <c r="G266" t="s">
        <v>99</v>
      </c>
      <c r="H266" t="s">
        <v>6</v>
      </c>
      <c r="I266">
        <f>SUMIFS('CompilationCalcs - EPA EOL'!$G$4:$G$264,'CompilationCalcs - EPA EOL'!$F$4:$F$264,dataforsankey!$H266,'CompilationCalcs - EPA EOL'!$A$4:$A$264,dataforsankey!$J266,'CompilationCalcs - EPA EOL'!$B$4:$B$264,dataforsankey!$G266)</f>
        <v>3.5536543963663465E-2</v>
      </c>
      <c r="J266" t="s">
        <v>1</v>
      </c>
      <c r="M266" t="s">
        <v>872</v>
      </c>
      <c r="N266" t="s">
        <v>99</v>
      </c>
      <c r="O266">
        <f>INDEX(PlasticsDataCompilation!$D$20:$D$36,MATCH(dataforsankey!$P266,PlasticsDataCompilation!$A$20:$A$36,0),1)*INDEX(PlasticsUse!$B$27:$L$43,MATCH(dataforsankey!$P266,PlasticsUse!$A$27:$A$43,0),MATCH($N266,PlasticsUse!$B$26:$L$26,0))</f>
        <v>2.0411321201018937E-2</v>
      </c>
      <c r="P266" t="s">
        <v>10</v>
      </c>
      <c r="S266" t="s">
        <v>103</v>
      </c>
      <c r="T266" t="s">
        <v>330</v>
      </c>
      <c r="U266" s="11">
        <f t="shared" si="28"/>
        <v>0</v>
      </c>
      <c r="V266" t="s">
        <v>25</v>
      </c>
      <c r="Y266" s="177" t="s">
        <v>103</v>
      </c>
      <c r="Z266" s="177" t="s">
        <v>330</v>
      </c>
      <c r="AA266" s="178">
        <f>INDEX('In-Use Stocks'!$M$81:$V$97,MATCH(dataforsankey!$AB266,'In-Use Stocks'!$L$81:$L$97,0),MATCH(dataforsankey!$Y266,'In-Use Stocks'!$M$80:$V$80,0))</f>
        <v>0</v>
      </c>
      <c r="AB266" s="177" t="s">
        <v>25</v>
      </c>
      <c r="AE266" s="177" t="s">
        <v>103</v>
      </c>
      <c r="AF266" s="177" t="s">
        <v>330</v>
      </c>
      <c r="AG266" s="178">
        <f>INDEX('In-Use Stocks'!$M$81:$V$97,MATCH(dataforsankey!$AB266,'In-Use Stocks'!$L$81:$L$97,0),MATCH(dataforsankey!$Y266,'In-Use Stocks'!$M$80:$V$80,0))</f>
        <v>0</v>
      </c>
      <c r="AH266" s="177" t="s">
        <v>25</v>
      </c>
    </row>
    <row r="267" spans="1:34" x14ac:dyDescent="0.2">
      <c r="A267" t="s">
        <v>15</v>
      </c>
      <c r="B267" t="s">
        <v>23</v>
      </c>
      <c r="C267" s="172">
        <f>1420*0.907185</f>
        <v>1288.2027</v>
      </c>
      <c r="G267" t="s">
        <v>99</v>
      </c>
      <c r="H267" t="s">
        <v>6</v>
      </c>
      <c r="I267">
        <f>SUMIFS('CompilationCalcs - EPA EOL'!$G$4:$G$264,'CompilationCalcs - EPA EOL'!$F$4:$F$264,dataforsankey!$H267,'CompilationCalcs - EPA EOL'!$A$4:$A$264,dataforsankey!$J267,'CompilationCalcs - EPA EOL'!$B$4:$B$264,dataforsankey!$G267)</f>
        <v>0</v>
      </c>
      <c r="J267" t="s">
        <v>7</v>
      </c>
      <c r="M267" t="s">
        <v>872</v>
      </c>
      <c r="N267" t="s">
        <v>69</v>
      </c>
      <c r="O267">
        <f>INDEX(PlasticsDataCompilation!$D$20:$D$36,MATCH(dataforsankey!$P267,PlasticsDataCompilation!$A$20:$A$36,0),1)*INDEX(PlasticsUse!$B$27:$L$43,MATCH(dataforsankey!$P267,PlasticsUse!$A$27:$A$43,0),MATCH($N267,PlasticsUse!$B$26:$L$26,0))</f>
        <v>2.0411321201018937E-2</v>
      </c>
      <c r="P267" t="s">
        <v>10</v>
      </c>
      <c r="S267" t="s">
        <v>86</v>
      </c>
      <c r="T267" t="s">
        <v>330</v>
      </c>
      <c r="U267" s="11">
        <f t="shared" si="28"/>
        <v>0.18189370821231832</v>
      </c>
      <c r="V267" t="s">
        <v>25</v>
      </c>
      <c r="Y267" s="177" t="s">
        <v>86</v>
      </c>
      <c r="Z267" s="177" t="s">
        <v>330</v>
      </c>
      <c r="AA267" s="178">
        <f>INDEX('In-Use Stocks'!$M$81:$V$97,MATCH(dataforsankey!$AB267,'In-Use Stocks'!$L$81:$L$97,0),MATCH(dataforsankey!$Y267,'In-Use Stocks'!$M$80:$V$80,0))</f>
        <v>0.18189370821231832</v>
      </c>
      <c r="AB267" s="177" t="s">
        <v>25</v>
      </c>
      <c r="AE267" s="177" t="s">
        <v>86</v>
      </c>
      <c r="AF267" s="177" t="s">
        <v>330</v>
      </c>
      <c r="AG267" s="178">
        <f>INDEX('In-Use Stocks'!$M$81:$V$97,MATCH(dataforsankey!$AB267,'In-Use Stocks'!$L$81:$L$97,0),MATCH(dataforsankey!$Y267,'In-Use Stocks'!$M$80:$V$80,0))</f>
        <v>0.18189370821231832</v>
      </c>
      <c r="AH267" s="177" t="s">
        <v>25</v>
      </c>
    </row>
    <row r="268" spans="1:34" x14ac:dyDescent="0.2">
      <c r="G268" t="s">
        <v>99</v>
      </c>
      <c r="H268" t="s">
        <v>6</v>
      </c>
      <c r="I268">
        <f>SUMIFS('CompilationCalcs - EPA EOL'!$G$4:$G$264,'CompilationCalcs - EPA EOL'!$F$4:$F$264,dataforsankey!$H268,'CompilationCalcs - EPA EOL'!$A$4:$A$264,dataforsankey!$J268,'CompilationCalcs - EPA EOL'!$B$4:$B$264,dataforsankey!$G268)</f>
        <v>0</v>
      </c>
      <c r="J268" t="s">
        <v>8</v>
      </c>
      <c r="M268" t="s">
        <v>872</v>
      </c>
      <c r="N268" t="s">
        <v>100</v>
      </c>
      <c r="O268">
        <f>INDEX(PlasticsDataCompilation!$D$20:$D$36,MATCH(dataforsankey!$P268,PlasticsDataCompilation!$A$20:$A$36,0),1)*INDEX(PlasticsUse!$B$27:$L$43,MATCH(dataforsankey!$P268,PlasticsUse!$A$27:$A$43,0),MATCH($N268,PlasticsUse!$B$26:$L$26,0))</f>
        <v>2.0411321201018937E-2</v>
      </c>
      <c r="P268" t="s">
        <v>10</v>
      </c>
      <c r="S268" t="s">
        <v>38</v>
      </c>
      <c r="T268" t="s">
        <v>330</v>
      </c>
      <c r="U268" s="11">
        <f t="shared" si="28"/>
        <v>8.5508327920284163E-2</v>
      </c>
      <c r="V268" t="s">
        <v>7</v>
      </c>
      <c r="Y268" s="177" t="s">
        <v>38</v>
      </c>
      <c r="Z268" s="177" t="s">
        <v>330</v>
      </c>
      <c r="AA268" s="178">
        <f>INDEX('In-Use Stocks'!$M$81:$V$97,MATCH(dataforsankey!$AB268,'In-Use Stocks'!$L$81:$L$97,0),MATCH(dataforsankey!$Y268,'In-Use Stocks'!$M$80:$V$80,0))</f>
        <v>8.5508327920284163E-2</v>
      </c>
      <c r="AB268" s="177" t="s">
        <v>7</v>
      </c>
      <c r="AE268" s="177" t="s">
        <v>38</v>
      </c>
      <c r="AF268" s="177" t="s">
        <v>330</v>
      </c>
      <c r="AG268" s="178">
        <f>INDEX('In-Use Stocks'!$M$81:$V$97,MATCH(dataforsankey!$AB268,'In-Use Stocks'!$L$81:$L$97,0),MATCH(dataforsankey!$Y268,'In-Use Stocks'!$M$80:$V$80,0))</f>
        <v>8.5508327920284163E-2</v>
      </c>
      <c r="AH268" s="177" t="s">
        <v>7</v>
      </c>
    </row>
    <row r="269" spans="1:34" x14ac:dyDescent="0.2">
      <c r="G269" t="s">
        <v>99</v>
      </c>
      <c r="H269" t="s">
        <v>6</v>
      </c>
      <c r="I269">
        <f>SUMIFS('CompilationCalcs - EPA EOL'!$G$4:$G$264,'CompilationCalcs - EPA EOL'!$F$4:$F$264,dataforsankey!$H269,'CompilationCalcs - EPA EOL'!$A$4:$A$264,dataforsankey!$J269,'CompilationCalcs - EPA EOL'!$B$4:$B$264,dataforsankey!$G269)</f>
        <v>0</v>
      </c>
      <c r="J269" t="s">
        <v>9</v>
      </c>
      <c r="M269" t="s">
        <v>872</v>
      </c>
      <c r="N269" t="s">
        <v>39</v>
      </c>
      <c r="O269">
        <f>INDEX(PlasticsDataCompilation!$D$20:$D$36,MATCH(dataforsankey!$P269,PlasticsDataCompilation!$A$20:$A$36,0),1)*INDEX(PlasticsUse!$B$27:$L$43,MATCH(dataforsankey!$P269,PlasticsUse!$A$27:$A$43,0),MATCH($N269,PlasticsUse!$B$26:$L$26,0))</f>
        <v>2.0411321201018937E-2</v>
      </c>
      <c r="P269" t="s">
        <v>10</v>
      </c>
      <c r="S269" t="s">
        <v>99</v>
      </c>
      <c r="T269" t="s">
        <v>330</v>
      </c>
      <c r="U269" s="11">
        <f t="shared" si="28"/>
        <v>0.20805639360710262</v>
      </c>
      <c r="V269" t="s">
        <v>7</v>
      </c>
      <c r="Y269" s="177" t="s">
        <v>99</v>
      </c>
      <c r="Z269" s="177" t="s">
        <v>330</v>
      </c>
      <c r="AA269" s="178">
        <f>INDEX('In-Use Stocks'!$M$81:$V$97,MATCH(dataforsankey!$AB269,'In-Use Stocks'!$L$81:$L$97,0),MATCH(dataforsankey!$Y269,'In-Use Stocks'!$M$80:$V$80,0))</f>
        <v>0.20805639360710262</v>
      </c>
      <c r="AB269" s="177" t="s">
        <v>7</v>
      </c>
      <c r="AE269" s="177" t="s">
        <v>99</v>
      </c>
      <c r="AF269" s="177" t="s">
        <v>330</v>
      </c>
      <c r="AG269" s="178">
        <f>INDEX('In-Use Stocks'!$M$81:$V$97,MATCH(dataforsankey!$AB269,'In-Use Stocks'!$L$81:$L$97,0),MATCH(dataforsankey!$Y269,'In-Use Stocks'!$M$80:$V$80,0))</f>
        <v>0.20805639360710262</v>
      </c>
      <c r="AH269" s="177" t="s">
        <v>7</v>
      </c>
    </row>
    <row r="270" spans="1:34" x14ac:dyDescent="0.2">
      <c r="G270" t="s">
        <v>99</v>
      </c>
      <c r="H270" t="s">
        <v>6</v>
      </c>
      <c r="I270">
        <f>SUMIFS('CompilationCalcs - EPA EOL'!$G$4:$G$264,'CompilationCalcs - EPA EOL'!$F$4:$F$264,dataforsankey!$H270,'CompilationCalcs - EPA EOL'!$A$4:$A$264,dataforsankey!$J270,'CompilationCalcs - EPA EOL'!$B$4:$B$264,dataforsankey!$G270)</f>
        <v>0</v>
      </c>
      <c r="J270" t="s">
        <v>10</v>
      </c>
      <c r="M270" t="s">
        <v>872</v>
      </c>
      <c r="N270" t="s">
        <v>68</v>
      </c>
      <c r="O270">
        <f>INDEX(PlasticsDataCompilation!$D$20:$D$36,MATCH(dataforsankey!$P270,PlasticsDataCompilation!$A$20:$A$36,0),1)*INDEX(PlasticsUse!$B$27:$L$43,MATCH(dataforsankey!$P270,PlasticsUse!$A$27:$A$43,0),MATCH($N270,PlasticsUse!$B$26:$L$26,0))</f>
        <v>2.0411321201018937E-2</v>
      </c>
      <c r="P270" t="s">
        <v>10</v>
      </c>
      <c r="S270" t="s">
        <v>69</v>
      </c>
      <c r="T270" t="s">
        <v>335</v>
      </c>
      <c r="U270" s="11">
        <f t="shared" si="28"/>
        <v>0.2256059786741765</v>
      </c>
      <c r="V270" t="s">
        <v>7</v>
      </c>
      <c r="Y270" t="s">
        <v>69</v>
      </c>
      <c r="Z270" t="s">
        <v>335</v>
      </c>
      <c r="AA270" s="11">
        <f>SUMIFS($O$23:$O$953,$M$23:$M$953,Y270,$N$23:$N$953,Z270,$P$23:$P$953,AB270)</f>
        <v>0.2256059786741765</v>
      </c>
      <c r="AB270" t="s">
        <v>7</v>
      </c>
      <c r="AE270" t="s">
        <v>69</v>
      </c>
      <c r="AF270" t="s">
        <v>335</v>
      </c>
      <c r="AG270" s="11">
        <f>SUMIFS($O$23:$O$953,$M$23:$M$953,AE270,$N$23:$N$953,AF270,$P$23:$P$953,AH270)</f>
        <v>0.2256059786741765</v>
      </c>
      <c r="AH270" t="s">
        <v>7</v>
      </c>
    </row>
    <row r="271" spans="1:34" x14ac:dyDescent="0.2">
      <c r="G271" t="s">
        <v>99</v>
      </c>
      <c r="H271" t="s">
        <v>6</v>
      </c>
      <c r="I271">
        <f>SUMIFS('CompilationCalcs - EPA EOL'!$G$4:$G$264,'CompilationCalcs - EPA EOL'!$F$4:$F$264,dataforsankey!$H271,'CompilationCalcs - EPA EOL'!$A$4:$A$264,dataforsankey!$J271,'CompilationCalcs - EPA EOL'!$B$4:$B$264,dataforsankey!$G271)</f>
        <v>0</v>
      </c>
      <c r="J271" t="s">
        <v>11</v>
      </c>
      <c r="M271" t="s">
        <v>872</v>
      </c>
      <c r="N271" t="s">
        <v>63</v>
      </c>
      <c r="O271">
        <f>INDEX(PlasticsDataCompilation!$D$20:$D$36,MATCH(dataforsankey!$P271,PlasticsDataCompilation!$A$20:$A$36,0),1)*INDEX(PlasticsUse!$B$27:$L$43,MATCH(dataforsankey!$P271,PlasticsUse!$A$27:$A$43,0),MATCH($N271,PlasticsUse!$B$26:$L$26,0))</f>
        <v>2.0411321201018937E-2</v>
      </c>
      <c r="P271" t="s">
        <v>10</v>
      </c>
      <c r="S271" t="s">
        <v>100</v>
      </c>
      <c r="T271" t="s">
        <v>330</v>
      </c>
      <c r="U271" s="11">
        <f t="shared" si="28"/>
        <v>0.16562573377902703</v>
      </c>
      <c r="V271" t="s">
        <v>7</v>
      </c>
      <c r="Y271" s="177" t="s">
        <v>100</v>
      </c>
      <c r="Z271" s="177" t="s">
        <v>330</v>
      </c>
      <c r="AA271" s="178">
        <f>INDEX('In-Use Stocks'!$M$81:$V$97,MATCH(dataforsankey!$AB271,'In-Use Stocks'!$L$81:$L$97,0),MATCH(dataforsankey!$Y271,'In-Use Stocks'!$M$80:$V$80,0))</f>
        <v>0.16562573377902703</v>
      </c>
      <c r="AB271" s="177" t="s">
        <v>7</v>
      </c>
      <c r="AE271" s="177" t="s">
        <v>100</v>
      </c>
      <c r="AF271" s="177" t="s">
        <v>330</v>
      </c>
      <c r="AG271" s="178">
        <f>INDEX('In-Use Stocks'!$M$81:$V$97,MATCH(dataforsankey!$AB271,'In-Use Stocks'!$L$81:$L$97,0),MATCH(dataforsankey!$Y271,'In-Use Stocks'!$M$80:$V$80,0))</f>
        <v>0.16562573377902703</v>
      </c>
      <c r="AH271" s="177" t="s">
        <v>7</v>
      </c>
    </row>
    <row r="272" spans="1:34" x14ac:dyDescent="0.2">
      <c r="G272" t="s">
        <v>99</v>
      </c>
      <c r="H272" t="s">
        <v>6</v>
      </c>
      <c r="I272">
        <f>SUMIFS('CompilationCalcs - EPA EOL'!$G$4:$G$264,'CompilationCalcs - EPA EOL'!$F$4:$F$264,dataforsankey!$H272,'CompilationCalcs - EPA EOL'!$A$4:$A$264,dataforsankey!$J272,'CompilationCalcs - EPA EOL'!$B$4:$B$264,dataforsankey!$G272)</f>
        <v>0</v>
      </c>
      <c r="J272" t="s">
        <v>127</v>
      </c>
      <c r="M272" t="s">
        <v>872</v>
      </c>
      <c r="N272" t="s">
        <v>92</v>
      </c>
      <c r="O272">
        <f>INDEX(PlasticsDataCompilation!$D$20:$D$36,MATCH(dataforsankey!$P272,PlasticsDataCompilation!$A$20:$A$36,0),1)*INDEX(PlasticsUse!$B$27:$L$43,MATCH(dataforsankey!$P272,PlasticsUse!$A$27:$A$43,0),MATCH($N272,PlasticsUse!$B$26:$L$26,0))</f>
        <v>2.0411321201018937E-2</v>
      </c>
      <c r="P272" t="s">
        <v>10</v>
      </c>
      <c r="S272" t="s">
        <v>39</v>
      </c>
      <c r="T272" t="s">
        <v>330</v>
      </c>
      <c r="U272" s="11">
        <f t="shared" si="28"/>
        <v>0.26459818018597558</v>
      </c>
      <c r="V272" t="s">
        <v>7</v>
      </c>
      <c r="Y272" s="177" t="s">
        <v>39</v>
      </c>
      <c r="Z272" s="177" t="s">
        <v>330</v>
      </c>
      <c r="AA272" s="178">
        <f>INDEX('In-Use Stocks'!$M$81:$V$97,MATCH(dataforsankey!$AB272,'In-Use Stocks'!$L$81:$L$97,0),MATCH(dataforsankey!$Y272,'In-Use Stocks'!$M$80:$V$80,0))</f>
        <v>0.26459818018597558</v>
      </c>
      <c r="AB272" s="177" t="s">
        <v>7</v>
      </c>
      <c r="AE272" s="177" t="s">
        <v>39</v>
      </c>
      <c r="AF272" s="177" t="s">
        <v>330</v>
      </c>
      <c r="AG272" s="178">
        <f>INDEX('In-Use Stocks'!$M$81:$V$97,MATCH(dataforsankey!$AB272,'In-Use Stocks'!$L$81:$L$97,0),MATCH(dataforsankey!$Y272,'In-Use Stocks'!$M$80:$V$80,0))</f>
        <v>0.26459818018597558</v>
      </c>
      <c r="AH272" s="177" t="s">
        <v>7</v>
      </c>
    </row>
    <row r="273" spans="7:34" x14ac:dyDescent="0.2">
      <c r="G273" t="s">
        <v>99</v>
      </c>
      <c r="H273" t="s">
        <v>6</v>
      </c>
      <c r="I273">
        <f>SUMIFS('CompilationCalcs - EPA EOL'!$G$4:$G$264,'CompilationCalcs - EPA EOL'!$F$4:$F$264,dataforsankey!$H273,'CompilationCalcs - EPA EOL'!$A$4:$A$264,dataforsankey!$J273,'CompilationCalcs - EPA EOL'!$B$4:$B$264,dataforsankey!$G273)</f>
        <v>0</v>
      </c>
      <c r="J273" t="s">
        <v>122</v>
      </c>
      <c r="M273" t="s">
        <v>872</v>
      </c>
      <c r="N273" t="s">
        <v>103</v>
      </c>
      <c r="O273">
        <f>INDEX(PlasticsDataCompilation!$D$20:$D$36,MATCH(dataforsankey!$P273,PlasticsDataCompilation!$A$20:$A$36,0),1)*INDEX(PlasticsUse!$B$27:$L$43,MATCH(dataforsankey!$P273,PlasticsUse!$A$27:$A$43,0),MATCH($N273,PlasticsUse!$B$26:$L$26,0))</f>
        <v>0</v>
      </c>
      <c r="P273" t="s">
        <v>10</v>
      </c>
      <c r="S273" t="s">
        <v>68</v>
      </c>
      <c r="T273" t="s">
        <v>330</v>
      </c>
      <c r="U273" s="11">
        <f t="shared" si="28"/>
        <v>0.23508417591459085</v>
      </c>
      <c r="V273" t="s">
        <v>7</v>
      </c>
      <c r="Y273" s="177" t="s">
        <v>68</v>
      </c>
      <c r="Z273" s="177" t="s">
        <v>330</v>
      </c>
      <c r="AA273" s="178">
        <f>INDEX('In-Use Stocks'!$M$81:$V$97,MATCH(dataforsankey!$AB273,'In-Use Stocks'!$L$81:$L$97,0),MATCH(dataforsankey!$Y273,'In-Use Stocks'!$M$80:$V$80,0))</f>
        <v>0.23508417591459085</v>
      </c>
      <c r="AB273" s="177" t="s">
        <v>7</v>
      </c>
      <c r="AE273" s="177" t="s">
        <v>68</v>
      </c>
      <c r="AF273" s="177" t="s">
        <v>330</v>
      </c>
      <c r="AG273" s="178">
        <f>INDEX('In-Use Stocks'!$M$81:$V$97,MATCH(dataforsankey!$AB273,'In-Use Stocks'!$L$81:$L$97,0),MATCH(dataforsankey!$Y273,'In-Use Stocks'!$M$80:$V$80,0))</f>
        <v>0.23508417591459085</v>
      </c>
      <c r="AH273" s="177" t="s">
        <v>7</v>
      </c>
    </row>
    <row r="274" spans="7:34" x14ac:dyDescent="0.2">
      <c r="G274" t="s">
        <v>99</v>
      </c>
      <c r="H274" t="s">
        <v>6</v>
      </c>
      <c r="I274">
        <f>SUMIFS('CompilationCalcs - EPA EOL'!$G$4:$G$264,'CompilationCalcs - EPA EOL'!$F$4:$F$264,dataforsankey!$H274,'CompilationCalcs - EPA EOL'!$A$4:$A$264,dataforsankey!$J274,'CompilationCalcs - EPA EOL'!$B$4:$B$264,dataforsankey!$G274)</f>
        <v>0</v>
      </c>
      <c r="J274" t="s">
        <v>82</v>
      </c>
      <c r="M274" t="s">
        <v>872</v>
      </c>
      <c r="N274" t="s">
        <v>86</v>
      </c>
      <c r="O274">
        <f>INDEX(PlasticsDataCompilation!$D$20:$D$36,MATCH(dataforsankey!$P274,PlasticsDataCompilation!$A$20:$A$36,0),1)*INDEX(PlasticsUse!$B$27:$L$43,MATCH(dataforsankey!$P274,PlasticsUse!$A$27:$A$43,0),MATCH($N274,PlasticsUse!$B$26:$L$26,0))</f>
        <v>2.0411321201018937E-2</v>
      </c>
      <c r="P274" t="s">
        <v>10</v>
      </c>
      <c r="S274" t="s">
        <v>63</v>
      </c>
      <c r="T274" t="s">
        <v>330</v>
      </c>
      <c r="U274" s="11">
        <f t="shared" si="28"/>
        <v>0.21512160620325851</v>
      </c>
      <c r="V274" t="s">
        <v>7</v>
      </c>
      <c r="Y274" s="177" t="s">
        <v>63</v>
      </c>
      <c r="Z274" s="177" t="s">
        <v>330</v>
      </c>
      <c r="AA274" s="178">
        <f>INDEX('In-Use Stocks'!$M$81:$V$97,MATCH(dataforsankey!$AB274,'In-Use Stocks'!$L$81:$L$97,0),MATCH(dataforsankey!$Y274,'In-Use Stocks'!$M$80:$V$80,0))</f>
        <v>0.21512160620325851</v>
      </c>
      <c r="AB274" s="177" t="s">
        <v>7</v>
      </c>
      <c r="AE274" s="177" t="s">
        <v>63</v>
      </c>
      <c r="AF274" s="177" t="s">
        <v>330</v>
      </c>
      <c r="AG274" s="178">
        <f>INDEX('In-Use Stocks'!$M$81:$V$97,MATCH(dataforsankey!$AB274,'In-Use Stocks'!$L$81:$L$97,0),MATCH(dataforsankey!$Y274,'In-Use Stocks'!$M$80:$V$80,0))</f>
        <v>0.21512160620325851</v>
      </c>
      <c r="AH274" s="177" t="s">
        <v>7</v>
      </c>
    </row>
    <row r="275" spans="7:34" x14ac:dyDescent="0.2">
      <c r="G275" t="s">
        <v>69</v>
      </c>
      <c r="H275" t="s">
        <v>4</v>
      </c>
      <c r="I275">
        <f>SUMIFS('CompilationCalcs - EPA EOL'!$G$4:$G$264,'CompilationCalcs - EPA EOL'!$F$4:$F$264,dataforsankey!$H275,'CompilationCalcs - EPA EOL'!$A$4:$A$264,dataforsankey!$J275,'CompilationCalcs - EPA EOL'!$B$4:$B$264,dataforsankey!$G275)</f>
        <v>0</v>
      </c>
      <c r="J275" t="s">
        <v>0</v>
      </c>
      <c r="M275" t="s">
        <v>872</v>
      </c>
      <c r="N275" t="s">
        <v>18</v>
      </c>
      <c r="O275">
        <f>INDEX(PlasticsDataCompilation!$D$20:$D$36,MATCH(dataforsankey!$P275,PlasticsDataCompilation!$A$20:$A$36,0),1)*INDEX(PlasticsUse!$B$27:$L$43,MATCH(dataforsankey!$P275,PlasticsUse!$A$27:$A$43,0),MATCH($N275,PlasticsUse!$B$26:$L$26,0))</f>
        <v>2.0411321201018937E-2</v>
      </c>
      <c r="P275" t="s">
        <v>10</v>
      </c>
      <c r="S275" t="s">
        <v>92</v>
      </c>
      <c r="T275" t="s">
        <v>330</v>
      </c>
      <c r="U275" s="11">
        <f t="shared" si="28"/>
        <v>0.18612319857421852</v>
      </c>
      <c r="V275" t="s">
        <v>7</v>
      </c>
      <c r="Y275" s="177" t="s">
        <v>92</v>
      </c>
      <c r="Z275" s="177" t="s">
        <v>330</v>
      </c>
      <c r="AA275" s="178">
        <f>INDEX('In-Use Stocks'!$M$81:$V$97,MATCH(dataforsankey!$AB275,'In-Use Stocks'!$L$81:$L$97,0),MATCH(dataforsankey!$Y275,'In-Use Stocks'!$M$80:$V$80,0))</f>
        <v>0.18612319857421852</v>
      </c>
      <c r="AB275" s="177" t="s">
        <v>7</v>
      </c>
      <c r="AE275" s="177" t="s">
        <v>92</v>
      </c>
      <c r="AF275" s="177" t="s">
        <v>330</v>
      </c>
      <c r="AG275" s="178">
        <f>INDEX('In-Use Stocks'!$M$81:$V$97,MATCH(dataforsankey!$AB275,'In-Use Stocks'!$L$81:$L$97,0),MATCH(dataforsankey!$Y275,'In-Use Stocks'!$M$80:$V$80,0))</f>
        <v>0.18612319857421852</v>
      </c>
      <c r="AH275" s="177" t="s">
        <v>7</v>
      </c>
    </row>
    <row r="276" spans="7:34" x14ac:dyDescent="0.2">
      <c r="G276" t="s">
        <v>69</v>
      </c>
      <c r="H276" t="s">
        <v>4</v>
      </c>
      <c r="I276">
        <f>SUMIFS('CompilationCalcs - EPA EOL'!$G$4:$G$264,'CompilationCalcs - EPA EOL'!$F$4:$F$264,dataforsankey!$H276,'CompilationCalcs - EPA EOL'!$A$4:$A$264,dataforsankey!$J276,'CompilationCalcs - EPA EOL'!$B$4:$B$264,dataforsankey!$G276)</f>
        <v>0</v>
      </c>
      <c r="J276" t="s">
        <v>2</v>
      </c>
      <c r="M276" t="s">
        <v>872</v>
      </c>
      <c r="N276" t="s">
        <v>38</v>
      </c>
      <c r="O276">
        <f>INDEX(PlasticsDataCompilation!$D$20:$D$36,MATCH(dataforsankey!$P276,PlasticsDataCompilation!$A$20:$A$36,0),1)*INDEX(PlasticsUse!$B$27:$L$43,MATCH(dataforsankey!$P276,PlasticsUse!$A$27:$A$43,0),MATCH($N276,PlasticsUse!$B$26:$L$26,0))</f>
        <v>5.208942626728095E-3</v>
      </c>
      <c r="P276" t="s">
        <v>11</v>
      </c>
      <c r="S276" t="s">
        <v>103</v>
      </c>
      <c r="T276" t="s">
        <v>330</v>
      </c>
      <c r="U276" s="11">
        <f t="shared" si="28"/>
        <v>0</v>
      </c>
      <c r="V276" t="s">
        <v>7</v>
      </c>
      <c r="Y276" s="177" t="s">
        <v>103</v>
      </c>
      <c r="Z276" s="177" t="s">
        <v>330</v>
      </c>
      <c r="AA276" s="178">
        <f>INDEX('In-Use Stocks'!$M$81:$V$97,MATCH(dataforsankey!$AB276,'In-Use Stocks'!$L$81:$L$97,0),MATCH(dataforsankey!$Y276,'In-Use Stocks'!$M$80:$V$80,0))</f>
        <v>0</v>
      </c>
      <c r="AB276" s="177" t="s">
        <v>7</v>
      </c>
      <c r="AE276" s="177" t="s">
        <v>103</v>
      </c>
      <c r="AF276" s="177" t="s">
        <v>330</v>
      </c>
      <c r="AG276" s="178">
        <f>INDEX('In-Use Stocks'!$M$81:$V$97,MATCH(dataforsankey!$AB276,'In-Use Stocks'!$L$81:$L$97,0),MATCH(dataforsankey!$Y276,'In-Use Stocks'!$M$80:$V$80,0))</f>
        <v>0</v>
      </c>
      <c r="AH276" s="177" t="s">
        <v>7</v>
      </c>
    </row>
    <row r="277" spans="7:34" x14ac:dyDescent="0.2">
      <c r="G277" t="s">
        <v>69</v>
      </c>
      <c r="H277" t="s">
        <v>4</v>
      </c>
      <c r="I277">
        <f>SUMIFS('CompilationCalcs - EPA EOL'!$G$4:$G$264,'CompilationCalcs - EPA EOL'!$F$4:$F$264,dataforsankey!$H277,'CompilationCalcs - EPA EOL'!$A$4:$A$264,dataforsankey!$J277,'CompilationCalcs - EPA EOL'!$B$4:$B$264,dataforsankey!$G277)</f>
        <v>4.6280150278259401E-2</v>
      </c>
      <c r="J277" t="s">
        <v>1</v>
      </c>
      <c r="M277" t="s">
        <v>872</v>
      </c>
      <c r="N277" t="s">
        <v>99</v>
      </c>
      <c r="O277">
        <f>INDEX(PlasticsDataCompilation!$D$20:$D$36,MATCH(dataforsankey!$P277,PlasticsDataCompilation!$A$20:$A$36,0),1)*INDEX(PlasticsUse!$B$27:$L$43,MATCH(dataforsankey!$P277,PlasticsUse!$A$27:$A$43,0),MATCH($N277,PlasticsUse!$B$26:$L$26,0))</f>
        <v>5.208942626728095E-3</v>
      </c>
      <c r="P277" t="s">
        <v>11</v>
      </c>
      <c r="S277" t="s">
        <v>86</v>
      </c>
      <c r="T277" t="s">
        <v>330</v>
      </c>
      <c r="U277" s="11">
        <f t="shared" si="28"/>
        <v>0.18612319857421852</v>
      </c>
      <c r="V277" t="s">
        <v>7</v>
      </c>
      <c r="Y277" s="177" t="s">
        <v>86</v>
      </c>
      <c r="Z277" s="177" t="s">
        <v>330</v>
      </c>
      <c r="AA277" s="178">
        <f>INDEX('In-Use Stocks'!$M$81:$V$97,MATCH(dataforsankey!$AB277,'In-Use Stocks'!$L$81:$L$97,0),MATCH(dataforsankey!$Y277,'In-Use Stocks'!$M$80:$V$80,0))</f>
        <v>0.18612319857421852</v>
      </c>
      <c r="AB277" s="177" t="s">
        <v>7</v>
      </c>
      <c r="AE277" s="177" t="s">
        <v>86</v>
      </c>
      <c r="AF277" s="177" t="s">
        <v>330</v>
      </c>
      <c r="AG277" s="178">
        <f>INDEX('In-Use Stocks'!$M$81:$V$97,MATCH(dataforsankey!$AB277,'In-Use Stocks'!$L$81:$L$97,0),MATCH(dataforsankey!$Y277,'In-Use Stocks'!$M$80:$V$80,0))</f>
        <v>0.18612319857421852</v>
      </c>
      <c r="AH277" s="177" t="s">
        <v>7</v>
      </c>
    </row>
    <row r="278" spans="7:34" x14ac:dyDescent="0.2">
      <c r="G278" t="s">
        <v>69</v>
      </c>
      <c r="H278" t="s">
        <v>4</v>
      </c>
      <c r="I278">
        <f>SUMIFS('CompilationCalcs - EPA EOL'!$G$4:$G$264,'CompilationCalcs - EPA EOL'!$F$4:$F$264,dataforsankey!$H278,'CompilationCalcs - EPA EOL'!$A$4:$A$264,dataforsankey!$J278,'CompilationCalcs - EPA EOL'!$B$4:$B$264,dataforsankey!$G278)</f>
        <v>0</v>
      </c>
      <c r="J278" t="s">
        <v>7</v>
      </c>
      <c r="M278" t="s">
        <v>872</v>
      </c>
      <c r="N278" t="s">
        <v>69</v>
      </c>
      <c r="O278">
        <f>INDEX(PlasticsDataCompilation!$D$20:$D$36,MATCH(dataforsankey!$P278,PlasticsDataCompilation!$A$20:$A$36,0),1)*INDEX(PlasticsUse!$B$27:$L$43,MATCH(dataforsankey!$P278,PlasticsUse!$A$27:$A$43,0),MATCH($N278,PlasticsUse!$B$26:$L$26,0))</f>
        <v>5.208942626728095E-3</v>
      </c>
      <c r="P278" t="s">
        <v>11</v>
      </c>
      <c r="S278" t="s">
        <v>38</v>
      </c>
      <c r="T278" t="s">
        <v>330</v>
      </c>
      <c r="U278" s="11">
        <f t="shared" si="28"/>
        <v>0</v>
      </c>
      <c r="V278" t="s">
        <v>2</v>
      </c>
      <c r="Y278" s="177" t="s">
        <v>38</v>
      </c>
      <c r="Z278" s="177" t="s">
        <v>330</v>
      </c>
      <c r="AA278" s="178">
        <f>INDEX('In-Use Stocks'!$M$81:$V$97,MATCH(dataforsankey!$AB278,'In-Use Stocks'!$L$81:$L$97,0),MATCH(dataforsankey!$Y278,'In-Use Stocks'!$M$80:$V$80,0))</f>
        <v>0</v>
      </c>
      <c r="AB278" s="177" t="s">
        <v>2</v>
      </c>
      <c r="AE278" s="177" t="s">
        <v>38</v>
      </c>
      <c r="AF278" s="177" t="s">
        <v>330</v>
      </c>
      <c r="AG278" s="178">
        <f>INDEX('In-Use Stocks'!$M$81:$V$97,MATCH(dataforsankey!$AB278,'In-Use Stocks'!$L$81:$L$97,0),MATCH(dataforsankey!$Y278,'In-Use Stocks'!$M$80:$V$80,0))</f>
        <v>0</v>
      </c>
      <c r="AH278" s="177" t="s">
        <v>2</v>
      </c>
    </row>
    <row r="279" spans="7:34" x14ac:dyDescent="0.2">
      <c r="G279" t="s">
        <v>69</v>
      </c>
      <c r="H279" t="s">
        <v>4</v>
      </c>
      <c r="I279">
        <f>SUMIFS('CompilationCalcs - EPA EOL'!$G$4:$G$264,'CompilationCalcs - EPA EOL'!$F$4:$F$264,dataforsankey!$H279,'CompilationCalcs - EPA EOL'!$A$4:$A$264,dataforsankey!$J279,'CompilationCalcs - EPA EOL'!$B$4:$B$264,dataforsankey!$G279)</f>
        <v>3.0577956433849963E-2</v>
      </c>
      <c r="J279" t="s">
        <v>8</v>
      </c>
      <c r="M279" t="s">
        <v>872</v>
      </c>
      <c r="N279" t="s">
        <v>100</v>
      </c>
      <c r="O279">
        <f>INDEX(PlasticsDataCompilation!$D$20:$D$36,MATCH(dataforsankey!$P279,PlasticsDataCompilation!$A$20:$A$36,0),1)*INDEX(PlasticsUse!$B$27:$L$43,MATCH(dataforsankey!$P279,PlasticsUse!$A$27:$A$43,0),MATCH($N279,PlasticsUse!$B$26:$L$26,0))</f>
        <v>5.208942626728095E-3</v>
      </c>
      <c r="P279" t="s">
        <v>11</v>
      </c>
      <c r="S279" t="s">
        <v>99</v>
      </c>
      <c r="T279" t="s">
        <v>330</v>
      </c>
      <c r="U279" s="11">
        <f t="shared" ref="U279:U342" si="29">SUMIFS($O$23:$O$935,$M$23:$M$935,S279,$N$23:$N$935,T279,$P$23:$P$935,V279)</f>
        <v>0</v>
      </c>
      <c r="V279" t="s">
        <v>2</v>
      </c>
      <c r="Y279" s="177" t="s">
        <v>99</v>
      </c>
      <c r="Z279" s="177" t="s">
        <v>330</v>
      </c>
      <c r="AA279" s="178">
        <f>INDEX('In-Use Stocks'!$M$81:$V$97,MATCH(dataforsankey!$AB279,'In-Use Stocks'!$L$81:$L$97,0),MATCH(dataforsankey!$Y279,'In-Use Stocks'!$M$80:$V$80,0))</f>
        <v>0</v>
      </c>
      <c r="AB279" s="177" t="s">
        <v>2</v>
      </c>
      <c r="AE279" s="177" t="s">
        <v>99</v>
      </c>
      <c r="AF279" s="177" t="s">
        <v>330</v>
      </c>
      <c r="AG279" s="178">
        <f>INDEX('In-Use Stocks'!$M$81:$V$97,MATCH(dataforsankey!$AB279,'In-Use Stocks'!$L$81:$L$97,0),MATCH(dataforsankey!$Y279,'In-Use Stocks'!$M$80:$V$80,0))</f>
        <v>0</v>
      </c>
      <c r="AH279" s="177" t="s">
        <v>2</v>
      </c>
    </row>
    <row r="280" spans="7:34" x14ac:dyDescent="0.2">
      <c r="G280" t="s">
        <v>69</v>
      </c>
      <c r="H280" t="s">
        <v>4</v>
      </c>
      <c r="I280">
        <f>SUMIFS('CompilationCalcs - EPA EOL'!$G$4:$G$264,'CompilationCalcs - EPA EOL'!$F$4:$F$264,dataforsankey!$H280,'CompilationCalcs - EPA EOL'!$A$4:$A$264,dataforsankey!$J280,'CompilationCalcs - EPA EOL'!$B$4:$B$264,dataforsankey!$G280)</f>
        <v>0</v>
      </c>
      <c r="J280" t="s">
        <v>9</v>
      </c>
      <c r="M280" t="s">
        <v>872</v>
      </c>
      <c r="N280" t="s">
        <v>39</v>
      </c>
      <c r="O280">
        <f>INDEX(PlasticsDataCompilation!$D$20:$D$36,MATCH(dataforsankey!$P280,PlasticsDataCompilation!$A$20:$A$36,0),1)*INDEX(PlasticsUse!$B$27:$L$43,MATCH(dataforsankey!$P280,PlasticsUse!$A$27:$A$43,0),MATCH($N280,PlasticsUse!$B$26:$L$26,0))</f>
        <v>5.208942626728095E-3</v>
      </c>
      <c r="P280" t="s">
        <v>11</v>
      </c>
      <c r="S280" t="s">
        <v>69</v>
      </c>
      <c r="T280" t="s">
        <v>335</v>
      </c>
      <c r="U280" s="11">
        <f t="shared" si="29"/>
        <v>0</v>
      </c>
      <c r="V280" t="s">
        <v>2</v>
      </c>
      <c r="Y280" t="s">
        <v>69</v>
      </c>
      <c r="Z280" t="s">
        <v>335</v>
      </c>
      <c r="AA280" s="11">
        <f>SUMIFS($O$23:$O$953,$M$23:$M$953,Y280,$N$23:$N$953,Z280,$P$23:$P$953,AB280)</f>
        <v>0</v>
      </c>
      <c r="AB280" t="s">
        <v>2</v>
      </c>
      <c r="AE280" t="s">
        <v>69</v>
      </c>
      <c r="AF280" t="s">
        <v>335</v>
      </c>
      <c r="AG280" s="11">
        <f>SUMIFS($O$23:$O$953,$M$23:$M$953,AE280,$N$23:$N$953,AF280,$P$23:$P$953,AH280)</f>
        <v>0</v>
      </c>
      <c r="AH280" t="s">
        <v>2</v>
      </c>
    </row>
    <row r="281" spans="7:34" x14ac:dyDescent="0.2">
      <c r="G281" t="s">
        <v>69</v>
      </c>
      <c r="H281" t="s">
        <v>4</v>
      </c>
      <c r="I281">
        <f>SUMIFS('CompilationCalcs - EPA EOL'!$G$4:$G$264,'CompilationCalcs - EPA EOL'!$F$4:$F$264,dataforsankey!$H281,'CompilationCalcs - EPA EOL'!$A$4:$A$264,dataforsankey!$J281,'CompilationCalcs - EPA EOL'!$B$4:$B$264,dataforsankey!$G281)</f>
        <v>4.1321562748445895E-3</v>
      </c>
      <c r="J281" t="s">
        <v>10</v>
      </c>
      <c r="M281" t="s">
        <v>872</v>
      </c>
      <c r="N281" t="s">
        <v>68</v>
      </c>
      <c r="O281">
        <f>INDEX(PlasticsDataCompilation!$D$20:$D$36,MATCH(dataforsankey!$P281,PlasticsDataCompilation!$A$20:$A$36,0),1)*INDEX(PlasticsUse!$B$27:$L$43,MATCH(dataforsankey!$P281,PlasticsUse!$A$27:$A$43,0),MATCH($N281,PlasticsUse!$B$26:$L$26,0))</f>
        <v>5.208942626728095E-3</v>
      </c>
      <c r="P281" t="s">
        <v>11</v>
      </c>
      <c r="S281" t="s">
        <v>100</v>
      </c>
      <c r="T281" t="s">
        <v>330</v>
      </c>
      <c r="U281" s="11">
        <f t="shared" si="29"/>
        <v>0</v>
      </c>
      <c r="V281" t="s">
        <v>2</v>
      </c>
      <c r="Y281" s="177" t="s">
        <v>100</v>
      </c>
      <c r="Z281" s="177" t="s">
        <v>330</v>
      </c>
      <c r="AA281" s="178">
        <f>INDEX('In-Use Stocks'!$M$81:$V$97,MATCH(dataforsankey!$AB281,'In-Use Stocks'!$L$81:$L$97,0),MATCH(dataforsankey!$Y281,'In-Use Stocks'!$M$80:$V$80,0))</f>
        <v>0</v>
      </c>
      <c r="AB281" s="177" t="s">
        <v>2</v>
      </c>
      <c r="AE281" s="177" t="s">
        <v>100</v>
      </c>
      <c r="AF281" s="177" t="s">
        <v>330</v>
      </c>
      <c r="AG281" s="178">
        <f>INDEX('In-Use Stocks'!$M$81:$V$97,MATCH(dataforsankey!$AB281,'In-Use Stocks'!$L$81:$L$97,0),MATCH(dataforsankey!$Y281,'In-Use Stocks'!$M$80:$V$80,0))</f>
        <v>0</v>
      </c>
      <c r="AH281" s="177" t="s">
        <v>2</v>
      </c>
    </row>
    <row r="282" spans="7:34" x14ac:dyDescent="0.2">
      <c r="G282" t="s">
        <v>69</v>
      </c>
      <c r="H282" t="s">
        <v>4</v>
      </c>
      <c r="I282">
        <f>SUMIFS('CompilationCalcs - EPA EOL'!$G$4:$G$264,'CompilationCalcs - EPA EOL'!$F$4:$F$264,dataforsankey!$H282,'CompilationCalcs - EPA EOL'!$A$4:$A$264,dataforsankey!$J282,'CompilationCalcs - EPA EOL'!$B$4:$B$264,dataforsankey!$G282)</f>
        <v>1.6528625099378356E-3</v>
      </c>
      <c r="J282" t="s">
        <v>11</v>
      </c>
      <c r="M282" t="s">
        <v>872</v>
      </c>
      <c r="N282" t="s">
        <v>63</v>
      </c>
      <c r="O282">
        <f>INDEX(PlasticsDataCompilation!$D$20:$D$36,MATCH(dataforsankey!$P282,PlasticsDataCompilation!$A$20:$A$36,0),1)*INDEX(PlasticsUse!$B$27:$L$43,MATCH(dataforsankey!$P282,PlasticsUse!$A$27:$A$43,0),MATCH($N282,PlasticsUse!$B$26:$L$26,0))</f>
        <v>5.208942626728095E-3</v>
      </c>
      <c r="P282" t="s">
        <v>11</v>
      </c>
      <c r="S282" t="s">
        <v>39</v>
      </c>
      <c r="T282" t="s">
        <v>330</v>
      </c>
      <c r="U282" s="11">
        <f t="shared" si="29"/>
        <v>3.246538846797292</v>
      </c>
      <c r="V282" t="s">
        <v>2</v>
      </c>
      <c r="Y282" s="177" t="s">
        <v>39</v>
      </c>
      <c r="Z282" s="177" t="s">
        <v>330</v>
      </c>
      <c r="AA282" s="178">
        <f>INDEX('In-Use Stocks'!$M$81:$V$97,MATCH(dataforsankey!$AB282,'In-Use Stocks'!$L$81:$L$97,0),MATCH(dataforsankey!$Y282,'In-Use Stocks'!$M$80:$V$80,0))</f>
        <v>3.246538846797292</v>
      </c>
      <c r="AB282" s="177" t="s">
        <v>2</v>
      </c>
      <c r="AE282" s="177" t="s">
        <v>39</v>
      </c>
      <c r="AF282" s="177" t="s">
        <v>330</v>
      </c>
      <c r="AG282" s="178">
        <f>INDEX('In-Use Stocks'!$M$81:$V$97,MATCH(dataforsankey!$AB282,'In-Use Stocks'!$L$81:$L$97,0),MATCH(dataforsankey!$Y282,'In-Use Stocks'!$M$80:$V$80,0))</f>
        <v>3.246538846797292</v>
      </c>
      <c r="AH282" s="177" t="s">
        <v>2</v>
      </c>
    </row>
    <row r="283" spans="7:34" x14ac:dyDescent="0.2">
      <c r="G283" t="s">
        <v>69</v>
      </c>
      <c r="H283" t="s">
        <v>4</v>
      </c>
      <c r="I283">
        <f>SUMIFS('CompilationCalcs - EPA EOL'!$G$4:$G$264,'CompilationCalcs - EPA EOL'!$F$4:$F$264,dataforsankey!$H283,'CompilationCalcs - EPA EOL'!$A$4:$A$264,dataforsankey!$J283,'CompilationCalcs - EPA EOL'!$B$4:$B$264,dataforsankey!$G283)</f>
        <v>0</v>
      </c>
      <c r="J283" t="s">
        <v>127</v>
      </c>
      <c r="M283" t="s">
        <v>872</v>
      </c>
      <c r="N283" t="s">
        <v>92</v>
      </c>
      <c r="O283">
        <f>INDEX(PlasticsDataCompilation!$D$20:$D$36,MATCH(dataforsankey!$P283,PlasticsDataCompilation!$A$20:$A$36,0),1)*INDEX(PlasticsUse!$B$27:$L$43,MATCH(dataforsankey!$P283,PlasticsUse!$A$27:$A$43,0),MATCH($N283,PlasticsUse!$B$26:$L$26,0))</f>
        <v>5.208942626728095E-3</v>
      </c>
      <c r="P283" t="s">
        <v>11</v>
      </c>
      <c r="S283" t="s">
        <v>68</v>
      </c>
      <c r="T283" t="s">
        <v>330</v>
      </c>
      <c r="U283" s="11">
        <f t="shared" si="29"/>
        <v>0</v>
      </c>
      <c r="V283" t="s">
        <v>2</v>
      </c>
      <c r="Y283" s="177" t="s">
        <v>68</v>
      </c>
      <c r="Z283" s="177" t="s">
        <v>330</v>
      </c>
      <c r="AA283" s="178">
        <f>INDEX('In-Use Stocks'!$M$81:$V$97,MATCH(dataforsankey!$AB283,'In-Use Stocks'!$L$81:$L$97,0),MATCH(dataforsankey!$Y283,'In-Use Stocks'!$M$80:$V$80,0))</f>
        <v>0</v>
      </c>
      <c r="AB283" s="177" t="s">
        <v>2</v>
      </c>
      <c r="AE283" s="177" t="s">
        <v>68</v>
      </c>
      <c r="AF283" s="177" t="s">
        <v>330</v>
      </c>
      <c r="AG283" s="178">
        <f>INDEX('In-Use Stocks'!$M$81:$V$97,MATCH(dataforsankey!$AB283,'In-Use Stocks'!$L$81:$L$97,0),MATCH(dataforsankey!$Y283,'In-Use Stocks'!$M$80:$V$80,0))</f>
        <v>0</v>
      </c>
      <c r="AH283" s="177" t="s">
        <v>2</v>
      </c>
    </row>
    <row r="284" spans="7:34" x14ac:dyDescent="0.2">
      <c r="G284" t="s">
        <v>69</v>
      </c>
      <c r="H284" t="s">
        <v>4</v>
      </c>
      <c r="I284">
        <f>SUMIFS('CompilationCalcs - EPA EOL'!$G$4:$G$264,'CompilationCalcs - EPA EOL'!$F$4:$F$264,dataforsankey!$H284,'CompilationCalcs - EPA EOL'!$A$4:$A$264,dataforsankey!$J284,'CompilationCalcs - EPA EOL'!$B$4:$B$264,dataforsankey!$G284)</f>
        <v>0</v>
      </c>
      <c r="J284" t="s">
        <v>122</v>
      </c>
      <c r="M284" t="s">
        <v>872</v>
      </c>
      <c r="N284" t="s">
        <v>103</v>
      </c>
      <c r="O284">
        <f>INDEX(PlasticsDataCompilation!$D$20:$D$36,MATCH(dataforsankey!$P284,PlasticsDataCompilation!$A$20:$A$36,0),1)*INDEX(PlasticsUse!$B$27:$L$43,MATCH(dataforsankey!$P284,PlasticsUse!$A$27:$A$43,0),MATCH($N284,PlasticsUse!$B$26:$L$26,0))</f>
        <v>0</v>
      </c>
      <c r="P284" t="s">
        <v>11</v>
      </c>
      <c r="S284" t="s">
        <v>63</v>
      </c>
      <c r="T284" t="s">
        <v>330</v>
      </c>
      <c r="U284" s="11">
        <f t="shared" si="29"/>
        <v>0</v>
      </c>
      <c r="V284" t="s">
        <v>2</v>
      </c>
      <c r="Y284" s="177" t="s">
        <v>63</v>
      </c>
      <c r="Z284" s="177" t="s">
        <v>330</v>
      </c>
      <c r="AA284" s="178">
        <f>INDEX('In-Use Stocks'!$M$81:$V$97,MATCH(dataforsankey!$AB284,'In-Use Stocks'!$L$81:$L$97,0),MATCH(dataforsankey!$Y284,'In-Use Stocks'!$M$80:$V$80,0))</f>
        <v>0</v>
      </c>
      <c r="AB284" s="177" t="s">
        <v>2</v>
      </c>
      <c r="AE284" s="177" t="s">
        <v>63</v>
      </c>
      <c r="AF284" s="177" t="s">
        <v>330</v>
      </c>
      <c r="AG284" s="178">
        <f>INDEX('In-Use Stocks'!$M$81:$V$97,MATCH(dataforsankey!$AB284,'In-Use Stocks'!$L$81:$L$97,0),MATCH(dataforsankey!$Y284,'In-Use Stocks'!$M$80:$V$80,0))</f>
        <v>0</v>
      </c>
      <c r="AH284" s="177" t="s">
        <v>2</v>
      </c>
    </row>
    <row r="285" spans="7:34" x14ac:dyDescent="0.2">
      <c r="G285" t="s">
        <v>69</v>
      </c>
      <c r="H285" t="s">
        <v>4</v>
      </c>
      <c r="I285">
        <f>SUMIFS('CompilationCalcs - EPA EOL'!$G$4:$G$264,'CompilationCalcs - EPA EOL'!$F$4:$F$264,dataforsankey!$H285,'CompilationCalcs - EPA EOL'!$A$4:$A$264,dataforsankey!$J285,'CompilationCalcs - EPA EOL'!$B$4:$B$264,dataforsankey!$G285)</f>
        <v>9.1733869301549878E-2</v>
      </c>
      <c r="J285" t="s">
        <v>82</v>
      </c>
      <c r="M285" t="s">
        <v>872</v>
      </c>
      <c r="N285" t="s">
        <v>86</v>
      </c>
      <c r="O285">
        <f>INDEX(PlasticsDataCompilation!$D$20:$D$36,MATCH(dataforsankey!$P285,PlasticsDataCompilation!$A$20:$A$36,0),1)*INDEX(PlasticsUse!$B$27:$L$43,MATCH(dataforsankey!$P285,PlasticsUse!$A$27:$A$43,0),MATCH($N285,PlasticsUse!$B$26:$L$26,0))</f>
        <v>5.208942626728095E-3</v>
      </c>
      <c r="P285" t="s">
        <v>11</v>
      </c>
      <c r="S285" t="s">
        <v>92</v>
      </c>
      <c r="T285" t="s">
        <v>330</v>
      </c>
      <c r="U285" s="11">
        <f t="shared" si="29"/>
        <v>0</v>
      </c>
      <c r="V285" t="s">
        <v>2</v>
      </c>
      <c r="Y285" s="177" t="s">
        <v>92</v>
      </c>
      <c r="Z285" s="177" t="s">
        <v>330</v>
      </c>
      <c r="AA285" s="178">
        <f>INDEX('In-Use Stocks'!$M$81:$V$97,MATCH(dataforsankey!$AB285,'In-Use Stocks'!$L$81:$L$97,0),MATCH(dataforsankey!$Y285,'In-Use Stocks'!$M$80:$V$80,0))</f>
        <v>0</v>
      </c>
      <c r="AB285" s="177" t="s">
        <v>2</v>
      </c>
      <c r="AE285" s="177" t="s">
        <v>92</v>
      </c>
      <c r="AF285" s="177" t="s">
        <v>330</v>
      </c>
      <c r="AG285" s="178">
        <f>INDEX('In-Use Stocks'!$M$81:$V$97,MATCH(dataforsankey!$AB285,'In-Use Stocks'!$L$81:$L$97,0),MATCH(dataforsankey!$Y285,'In-Use Stocks'!$M$80:$V$80,0))</f>
        <v>0</v>
      </c>
      <c r="AH285" s="177" t="s">
        <v>2</v>
      </c>
    </row>
    <row r="286" spans="7:34" x14ac:dyDescent="0.2">
      <c r="G286" t="s">
        <v>69</v>
      </c>
      <c r="H286" t="s">
        <v>5</v>
      </c>
      <c r="I286">
        <f>SUMIFS('CompilationCalcs - EPA EOL'!$G$4:$G$264,'CompilationCalcs - EPA EOL'!$F$4:$F$264,dataforsankey!$H286,'CompilationCalcs - EPA EOL'!$A$4:$A$264,dataforsankey!$J286,'CompilationCalcs - EPA EOL'!$B$4:$B$264,dataforsankey!$G286)</f>
        <v>0</v>
      </c>
      <c r="J286" t="s">
        <v>0</v>
      </c>
      <c r="M286" t="s">
        <v>872</v>
      </c>
      <c r="N286" t="s">
        <v>18</v>
      </c>
      <c r="O286">
        <f>INDEX(PlasticsDataCompilation!$D$20:$D$36,MATCH(dataforsankey!$P286,PlasticsDataCompilation!$A$20:$A$36,0),1)*INDEX(PlasticsUse!$B$27:$L$43,MATCH(dataforsankey!$P286,PlasticsUse!$A$27:$A$43,0),MATCH($N286,PlasticsUse!$B$26:$L$26,0))</f>
        <v>5.208942626728095E-3</v>
      </c>
      <c r="P286" t="s">
        <v>11</v>
      </c>
      <c r="S286" t="s">
        <v>103</v>
      </c>
      <c r="T286" t="s">
        <v>330</v>
      </c>
      <c r="U286" s="11">
        <f t="shared" si="29"/>
        <v>0</v>
      </c>
      <c r="V286" t="s">
        <v>2</v>
      </c>
      <c r="Y286" s="177" t="s">
        <v>103</v>
      </c>
      <c r="Z286" s="177" t="s">
        <v>330</v>
      </c>
      <c r="AA286" s="178">
        <f>INDEX('In-Use Stocks'!$M$81:$V$97,MATCH(dataforsankey!$AB286,'In-Use Stocks'!$L$81:$L$97,0),MATCH(dataforsankey!$Y286,'In-Use Stocks'!$M$80:$V$80,0))</f>
        <v>0</v>
      </c>
      <c r="AB286" s="177" t="s">
        <v>2</v>
      </c>
      <c r="AE286" s="177" t="s">
        <v>103</v>
      </c>
      <c r="AF286" s="177" t="s">
        <v>330</v>
      </c>
      <c r="AG286" s="178">
        <f>INDEX('In-Use Stocks'!$M$81:$V$97,MATCH(dataforsankey!$AB286,'In-Use Stocks'!$L$81:$L$97,0),MATCH(dataforsankey!$Y286,'In-Use Stocks'!$M$80:$V$80,0))</f>
        <v>0</v>
      </c>
      <c r="AH286" s="177" t="s">
        <v>2</v>
      </c>
    </row>
    <row r="287" spans="7:34" x14ac:dyDescent="0.2">
      <c r="G287" t="s">
        <v>69</v>
      </c>
      <c r="H287" t="s">
        <v>5</v>
      </c>
      <c r="I287">
        <f>SUMIFS('CompilationCalcs - EPA EOL'!$G$4:$G$264,'CompilationCalcs - EPA EOL'!$F$4:$F$264,dataforsankey!$H287,'CompilationCalcs - EPA EOL'!$A$4:$A$264,dataforsankey!$J287,'CompilationCalcs - EPA EOL'!$B$4:$B$264,dataforsankey!$G287)</f>
        <v>0</v>
      </c>
      <c r="J287" t="s">
        <v>2</v>
      </c>
      <c r="M287" t="s">
        <v>872</v>
      </c>
      <c r="N287" t="s">
        <v>38</v>
      </c>
      <c r="O287">
        <f>INDEX(PlasticsDataCompilation!$D$20:$D$36,MATCH(dataforsankey!$P287,PlasticsDataCompilation!$A$20:$A$36,0),1)*INDEX(PlasticsUse!$B$27:$L$43,MATCH(dataforsankey!$P287,PlasticsUse!$A$27:$A$43,0),MATCH($N287,PlasticsUse!$B$26:$L$26,0))</f>
        <v>1.0892722112880006E-2</v>
      </c>
      <c r="P287" t="s">
        <v>25</v>
      </c>
      <c r="S287" t="s">
        <v>86</v>
      </c>
      <c r="T287" t="s">
        <v>330</v>
      </c>
      <c r="U287" s="11">
        <f t="shared" si="29"/>
        <v>0.56735491121090986</v>
      </c>
      <c r="V287" t="s">
        <v>2</v>
      </c>
      <c r="Y287" s="177" t="s">
        <v>86</v>
      </c>
      <c r="Z287" s="177" t="s">
        <v>330</v>
      </c>
      <c r="AA287" s="178">
        <f>INDEX('In-Use Stocks'!$M$81:$V$97,MATCH(dataforsankey!$AB287,'In-Use Stocks'!$L$81:$L$97,0),MATCH(dataforsankey!$Y287,'In-Use Stocks'!$M$80:$V$80,0))</f>
        <v>0.56735491121090986</v>
      </c>
      <c r="AB287" s="177" t="s">
        <v>2</v>
      </c>
      <c r="AE287" s="177" t="s">
        <v>86</v>
      </c>
      <c r="AF287" s="177" t="s">
        <v>330</v>
      </c>
      <c r="AG287" s="178">
        <f>INDEX('In-Use Stocks'!$M$81:$V$97,MATCH(dataforsankey!$AB287,'In-Use Stocks'!$L$81:$L$97,0),MATCH(dataforsankey!$Y287,'In-Use Stocks'!$M$80:$V$80,0))</f>
        <v>0.56735491121090986</v>
      </c>
      <c r="AH287" s="177" t="s">
        <v>2</v>
      </c>
    </row>
    <row r="288" spans="7:34" x14ac:dyDescent="0.2">
      <c r="G288" t="s">
        <v>69</v>
      </c>
      <c r="H288" t="s">
        <v>5</v>
      </c>
      <c r="I288">
        <f>SUMIFS('CompilationCalcs - EPA EOL'!$G$4:$G$264,'CompilationCalcs - EPA EOL'!$F$4:$F$264,dataforsankey!$H288,'CompilationCalcs - EPA EOL'!$A$4:$A$264,dataforsankey!$J288,'CompilationCalcs - EPA EOL'!$B$4:$B$264,dataforsankey!$G288)</f>
        <v>8.2643125496891789E-3</v>
      </c>
      <c r="J288" t="s">
        <v>1</v>
      </c>
      <c r="M288" t="s">
        <v>872</v>
      </c>
      <c r="N288" t="s">
        <v>99</v>
      </c>
      <c r="O288">
        <f>INDEX(PlasticsDataCompilation!$D$20:$D$36,MATCH(dataforsankey!$P288,PlasticsDataCompilation!$A$20:$A$36,0),1)*INDEX(PlasticsUse!$B$27:$L$43,MATCH(dataforsankey!$P288,PlasticsUse!$A$27:$A$43,0),MATCH($N288,PlasticsUse!$B$26:$L$26,0))</f>
        <v>1.0892722112880006E-2</v>
      </c>
      <c r="P288" t="s">
        <v>25</v>
      </c>
      <c r="S288" t="s">
        <v>38</v>
      </c>
      <c r="T288" t="s">
        <v>330</v>
      </c>
      <c r="U288" s="11">
        <f t="shared" si="29"/>
        <v>2.4542096411624699E-2</v>
      </c>
      <c r="V288" t="s">
        <v>30</v>
      </c>
      <c r="Y288" s="177" t="s">
        <v>38</v>
      </c>
      <c r="Z288" s="177" t="s">
        <v>330</v>
      </c>
      <c r="AA288" s="178">
        <f>INDEX('In-Use Stocks'!$M$81:$V$97,MATCH(dataforsankey!$AB288,'In-Use Stocks'!$L$81:$L$97,0),MATCH(dataforsankey!$Y288,'In-Use Stocks'!$M$80:$V$80,0))</f>
        <v>2.4542096411624699E-2</v>
      </c>
      <c r="AB288" s="177" t="s">
        <v>30</v>
      </c>
      <c r="AE288" s="177" t="s">
        <v>38</v>
      </c>
      <c r="AF288" s="177" t="s">
        <v>330</v>
      </c>
      <c r="AG288" s="178">
        <f>INDEX('In-Use Stocks'!$M$81:$V$97,MATCH(dataforsankey!$AB288,'In-Use Stocks'!$L$81:$L$97,0),MATCH(dataforsankey!$Y288,'In-Use Stocks'!$M$80:$V$80,0))</f>
        <v>2.4542096411624699E-2</v>
      </c>
      <c r="AH288" s="177" t="s">
        <v>30</v>
      </c>
    </row>
    <row r="289" spans="7:34" x14ac:dyDescent="0.2">
      <c r="G289" t="s">
        <v>69</v>
      </c>
      <c r="H289" t="s">
        <v>5</v>
      </c>
      <c r="I289">
        <f>SUMIFS('CompilationCalcs - EPA EOL'!$G$4:$G$264,'CompilationCalcs - EPA EOL'!$F$4:$F$264,dataforsankey!$H289,'CompilationCalcs - EPA EOL'!$A$4:$A$264,dataforsankey!$J289,'CompilationCalcs - EPA EOL'!$B$4:$B$264,dataforsankey!$G289)</f>
        <v>0</v>
      </c>
      <c r="J289" t="s">
        <v>7</v>
      </c>
      <c r="M289" t="s">
        <v>872</v>
      </c>
      <c r="N289" t="s">
        <v>69</v>
      </c>
      <c r="O289">
        <f>INDEX(PlasticsDataCompilation!$D$20:$D$36,MATCH(dataforsankey!$P289,PlasticsDataCompilation!$A$20:$A$36,0),1)*INDEX(PlasticsUse!$B$27:$L$43,MATCH(dataforsankey!$P289,PlasticsUse!$A$27:$A$43,0),MATCH($N289,PlasticsUse!$B$26:$L$26,0))</f>
        <v>1.0892722112880006E-2</v>
      </c>
      <c r="P289" t="s">
        <v>25</v>
      </c>
      <c r="S289" t="s">
        <v>99</v>
      </c>
      <c r="T289" t="s">
        <v>330</v>
      </c>
      <c r="U289" s="11">
        <f t="shared" si="29"/>
        <v>2.518054557744746E-2</v>
      </c>
      <c r="V289" t="s">
        <v>30</v>
      </c>
      <c r="Y289" s="177" t="s">
        <v>99</v>
      </c>
      <c r="Z289" s="177" t="s">
        <v>330</v>
      </c>
      <c r="AA289" s="178">
        <f>INDEX('In-Use Stocks'!$M$81:$V$97,MATCH(dataforsankey!$AB289,'In-Use Stocks'!$L$81:$L$97,0),MATCH(dataforsankey!$Y289,'In-Use Stocks'!$M$80:$V$80,0))</f>
        <v>2.518054557744746E-2</v>
      </c>
      <c r="AB289" s="177" t="s">
        <v>30</v>
      </c>
      <c r="AE289" s="177" t="s">
        <v>99</v>
      </c>
      <c r="AF289" s="177" t="s">
        <v>330</v>
      </c>
      <c r="AG289" s="178">
        <f>INDEX('In-Use Stocks'!$M$81:$V$97,MATCH(dataforsankey!$AB289,'In-Use Stocks'!$L$81:$L$97,0),MATCH(dataforsankey!$Y289,'In-Use Stocks'!$M$80:$V$80,0))</f>
        <v>2.518054557744746E-2</v>
      </c>
      <c r="AH289" s="177" t="s">
        <v>30</v>
      </c>
    </row>
    <row r="290" spans="7:34" x14ac:dyDescent="0.2">
      <c r="G290" t="s">
        <v>69</v>
      </c>
      <c r="H290" t="s">
        <v>5</v>
      </c>
      <c r="I290">
        <f>SUMIFS('CompilationCalcs - EPA EOL'!$G$4:$G$264,'CompilationCalcs - EPA EOL'!$F$4:$F$264,dataforsankey!$H290,'CompilationCalcs - EPA EOL'!$A$4:$A$264,dataforsankey!$J290,'CompilationCalcs - EPA EOL'!$B$4:$B$264,dataforsankey!$G290)</f>
        <v>0</v>
      </c>
      <c r="J290" t="s">
        <v>8</v>
      </c>
      <c r="M290" t="s">
        <v>872</v>
      </c>
      <c r="N290" t="s">
        <v>100</v>
      </c>
      <c r="O290">
        <f>INDEX(PlasticsDataCompilation!$D$20:$D$36,MATCH(dataforsankey!$P290,PlasticsDataCompilation!$A$20:$A$36,0),1)*INDEX(PlasticsUse!$B$27:$L$43,MATCH(dataforsankey!$P290,PlasticsUse!$A$27:$A$43,0),MATCH($N290,PlasticsUse!$B$26:$L$26,0))</f>
        <v>1.0892722112880006E-2</v>
      </c>
      <c r="P290" t="s">
        <v>25</v>
      </c>
      <c r="S290" t="s">
        <v>69</v>
      </c>
      <c r="T290" t="s">
        <v>335</v>
      </c>
      <c r="U290" s="11">
        <f t="shared" si="29"/>
        <v>0.17165519030958951</v>
      </c>
      <c r="V290" t="s">
        <v>30</v>
      </c>
      <c r="Y290" t="s">
        <v>69</v>
      </c>
      <c r="Z290" t="s">
        <v>335</v>
      </c>
      <c r="AA290" s="11">
        <f>SUMIFS($O$23:$O$953,$M$23:$M$953,Y290,$N$23:$N$953,Z290,$P$23:$P$953,AB290)</f>
        <v>0.17165519030958951</v>
      </c>
      <c r="AB290" t="s">
        <v>30</v>
      </c>
      <c r="AE290" t="s">
        <v>69</v>
      </c>
      <c r="AF290" t="s">
        <v>335</v>
      </c>
      <c r="AG290" s="11">
        <f>SUMIFS($O$23:$O$953,$M$23:$M$953,AE290,$N$23:$N$953,AF290,$P$23:$P$953,AH290)</f>
        <v>0.17165519030958951</v>
      </c>
      <c r="AH290" t="s">
        <v>30</v>
      </c>
    </row>
    <row r="291" spans="7:34" x14ac:dyDescent="0.2">
      <c r="G291" t="s">
        <v>69</v>
      </c>
      <c r="H291" t="s">
        <v>5</v>
      </c>
      <c r="I291">
        <f>SUMIFS('CompilationCalcs - EPA EOL'!$G$4:$G$264,'CompilationCalcs - EPA EOL'!$F$4:$F$264,dataforsankey!$H291,'CompilationCalcs - EPA EOL'!$A$4:$A$264,dataforsankey!$J291,'CompilationCalcs - EPA EOL'!$B$4:$B$264,dataforsankey!$G291)</f>
        <v>0</v>
      </c>
      <c r="J291" t="s">
        <v>9</v>
      </c>
      <c r="M291" t="s">
        <v>872</v>
      </c>
      <c r="N291" t="s">
        <v>39</v>
      </c>
      <c r="O291">
        <f>INDEX(PlasticsDataCompilation!$D$20:$D$36,MATCH(dataforsankey!$P291,PlasticsDataCompilation!$A$20:$A$36,0),1)*INDEX(PlasticsUse!$B$27:$L$43,MATCH(dataforsankey!$P291,PlasticsUse!$A$27:$A$43,0),MATCH($N291,PlasticsUse!$B$26:$L$26,0))</f>
        <v>1.0892722112880006E-2</v>
      </c>
      <c r="P291" t="s">
        <v>25</v>
      </c>
      <c r="S291" t="s">
        <v>100</v>
      </c>
      <c r="T291" t="s">
        <v>330</v>
      </c>
      <c r="U291" s="11">
        <f t="shared" si="29"/>
        <v>0</v>
      </c>
      <c r="V291" t="s">
        <v>30</v>
      </c>
      <c r="Y291" s="177" t="s">
        <v>100</v>
      </c>
      <c r="Z291" s="177" t="s">
        <v>330</v>
      </c>
      <c r="AA291" s="178">
        <f>INDEX('In-Use Stocks'!$M$81:$V$97,MATCH(dataforsankey!$AB291,'In-Use Stocks'!$L$81:$L$97,0),MATCH(dataforsankey!$Y291,'In-Use Stocks'!$M$80:$V$80,0))</f>
        <v>0</v>
      </c>
      <c r="AB291" s="177" t="s">
        <v>30</v>
      </c>
      <c r="AE291" s="177" t="s">
        <v>100</v>
      </c>
      <c r="AF291" s="177" t="s">
        <v>330</v>
      </c>
      <c r="AG291" s="178">
        <f>INDEX('In-Use Stocks'!$M$81:$V$97,MATCH(dataforsankey!$AB291,'In-Use Stocks'!$L$81:$L$97,0),MATCH(dataforsankey!$Y291,'In-Use Stocks'!$M$80:$V$80,0))</f>
        <v>0</v>
      </c>
      <c r="AH291" s="177" t="s">
        <v>30</v>
      </c>
    </row>
    <row r="292" spans="7:34" x14ac:dyDescent="0.2">
      <c r="G292" t="s">
        <v>69</v>
      </c>
      <c r="H292" t="s">
        <v>5</v>
      </c>
      <c r="I292">
        <f>SUMIFS('CompilationCalcs - EPA EOL'!$G$4:$G$264,'CompilationCalcs - EPA EOL'!$F$4:$F$264,dataforsankey!$H292,'CompilationCalcs - EPA EOL'!$A$4:$A$264,dataforsankey!$J292,'CompilationCalcs - EPA EOL'!$B$4:$B$264,dataforsankey!$G292)</f>
        <v>0</v>
      </c>
      <c r="J292" t="s">
        <v>10</v>
      </c>
      <c r="M292" t="s">
        <v>872</v>
      </c>
      <c r="N292" t="s">
        <v>68</v>
      </c>
      <c r="O292">
        <f>INDEX(PlasticsDataCompilation!$D$20:$D$36,MATCH(dataforsankey!$P292,PlasticsDataCompilation!$A$20:$A$36,0),1)*INDEX(PlasticsUse!$B$27:$L$43,MATCH(dataforsankey!$P292,PlasticsUse!$A$27:$A$43,0),MATCH($N292,PlasticsUse!$B$26:$L$26,0))</f>
        <v>1.0892722112880006E-2</v>
      </c>
      <c r="P292" t="s">
        <v>25</v>
      </c>
      <c r="S292" t="s">
        <v>39</v>
      </c>
      <c r="T292" t="s">
        <v>330</v>
      </c>
      <c r="U292" s="11">
        <f t="shared" si="29"/>
        <v>0</v>
      </c>
      <c r="V292" t="s">
        <v>30</v>
      </c>
      <c r="Y292" s="177" t="s">
        <v>39</v>
      </c>
      <c r="Z292" s="177" t="s">
        <v>330</v>
      </c>
      <c r="AA292" s="178">
        <f>INDEX('In-Use Stocks'!$M$81:$V$97,MATCH(dataforsankey!$AB292,'In-Use Stocks'!$L$81:$L$97,0),MATCH(dataforsankey!$Y292,'In-Use Stocks'!$M$80:$V$80,0))</f>
        <v>0</v>
      </c>
      <c r="AB292" s="177" t="s">
        <v>30</v>
      </c>
      <c r="AE292" s="177" t="s">
        <v>39</v>
      </c>
      <c r="AF292" s="177" t="s">
        <v>330</v>
      </c>
      <c r="AG292" s="178">
        <f>INDEX('In-Use Stocks'!$M$81:$V$97,MATCH(dataforsankey!$AB292,'In-Use Stocks'!$L$81:$L$97,0),MATCH(dataforsankey!$Y292,'In-Use Stocks'!$M$80:$V$80,0))</f>
        <v>0</v>
      </c>
      <c r="AH292" s="177" t="s">
        <v>30</v>
      </c>
    </row>
    <row r="293" spans="7:34" x14ac:dyDescent="0.2">
      <c r="G293" t="s">
        <v>69</v>
      </c>
      <c r="H293" t="s">
        <v>5</v>
      </c>
      <c r="I293">
        <f>SUMIFS('CompilationCalcs - EPA EOL'!$G$4:$G$264,'CompilationCalcs - EPA EOL'!$F$4:$F$264,dataforsankey!$H293,'CompilationCalcs - EPA EOL'!$A$4:$A$264,dataforsankey!$J293,'CompilationCalcs - EPA EOL'!$B$4:$B$264,dataforsankey!$G293)</f>
        <v>0</v>
      </c>
      <c r="J293" t="s">
        <v>11</v>
      </c>
      <c r="M293" t="s">
        <v>872</v>
      </c>
      <c r="N293" t="s">
        <v>63</v>
      </c>
      <c r="O293">
        <f>INDEX(PlasticsDataCompilation!$D$20:$D$36,MATCH(dataforsankey!$P293,PlasticsDataCompilation!$A$20:$A$36,0),1)*INDEX(PlasticsUse!$B$27:$L$43,MATCH(dataforsankey!$P293,PlasticsUse!$A$27:$A$43,0),MATCH($N293,PlasticsUse!$B$26:$L$26,0))</f>
        <v>1.0892722112880006E-2</v>
      </c>
      <c r="P293" t="s">
        <v>25</v>
      </c>
      <c r="S293" t="s">
        <v>68</v>
      </c>
      <c r="T293" t="s">
        <v>330</v>
      </c>
      <c r="U293" s="11">
        <f t="shared" si="29"/>
        <v>0.56541799086020339</v>
      </c>
      <c r="V293" t="s">
        <v>30</v>
      </c>
      <c r="Y293" s="177" t="s">
        <v>68</v>
      </c>
      <c r="Z293" s="177" t="s">
        <v>330</v>
      </c>
      <c r="AA293" s="178">
        <f>INDEX('In-Use Stocks'!$M$81:$V$97,MATCH(dataforsankey!$AB293,'In-Use Stocks'!$L$81:$L$97,0),MATCH(dataforsankey!$Y293,'In-Use Stocks'!$M$80:$V$80,0))</f>
        <v>0.56541799086020339</v>
      </c>
      <c r="AB293" s="177" t="s">
        <v>30</v>
      </c>
      <c r="AE293" s="177" t="s">
        <v>68</v>
      </c>
      <c r="AF293" s="177" t="s">
        <v>330</v>
      </c>
      <c r="AG293" s="178">
        <f>INDEX('In-Use Stocks'!$M$81:$V$97,MATCH(dataforsankey!$AB293,'In-Use Stocks'!$L$81:$L$97,0),MATCH(dataforsankey!$Y293,'In-Use Stocks'!$M$80:$V$80,0))</f>
        <v>0.56541799086020339</v>
      </c>
      <c r="AH293" s="177" t="s">
        <v>30</v>
      </c>
    </row>
    <row r="294" spans="7:34" x14ac:dyDescent="0.2">
      <c r="G294" t="s">
        <v>69</v>
      </c>
      <c r="H294" t="s">
        <v>5</v>
      </c>
      <c r="I294">
        <f>SUMIFS('CompilationCalcs - EPA EOL'!$G$4:$G$264,'CompilationCalcs - EPA EOL'!$F$4:$F$264,dataforsankey!$H294,'CompilationCalcs - EPA EOL'!$A$4:$A$264,dataforsankey!$J294,'CompilationCalcs - EPA EOL'!$B$4:$B$264,dataforsankey!$G294)</f>
        <v>0</v>
      </c>
      <c r="J294" t="s">
        <v>127</v>
      </c>
      <c r="M294" t="s">
        <v>872</v>
      </c>
      <c r="N294" t="s">
        <v>92</v>
      </c>
      <c r="O294">
        <f>INDEX(PlasticsDataCompilation!$D$20:$D$36,MATCH(dataforsankey!$P294,PlasticsDataCompilation!$A$20:$A$36,0),1)*INDEX(PlasticsUse!$B$27:$L$43,MATCH(dataforsankey!$P294,PlasticsUse!$A$27:$A$43,0),MATCH($N294,PlasticsUse!$B$26:$L$26,0))</f>
        <v>1.0892722112880006E-2</v>
      </c>
      <c r="P294" t="s">
        <v>25</v>
      </c>
      <c r="S294" t="s">
        <v>63</v>
      </c>
      <c r="T294" t="s">
        <v>330</v>
      </c>
      <c r="U294" s="11">
        <f t="shared" si="29"/>
        <v>0.18235906264642615</v>
      </c>
      <c r="V294" t="s">
        <v>30</v>
      </c>
      <c r="Y294" s="177" t="s">
        <v>63</v>
      </c>
      <c r="Z294" s="177" t="s">
        <v>330</v>
      </c>
      <c r="AA294" s="178">
        <f>INDEX('In-Use Stocks'!$M$81:$V$97,MATCH(dataforsankey!$AB294,'In-Use Stocks'!$L$81:$L$97,0),MATCH(dataforsankey!$Y294,'In-Use Stocks'!$M$80:$V$80,0))</f>
        <v>0.18235906264642615</v>
      </c>
      <c r="AB294" s="177" t="s">
        <v>30</v>
      </c>
      <c r="AE294" s="177" t="s">
        <v>63</v>
      </c>
      <c r="AF294" s="177" t="s">
        <v>330</v>
      </c>
      <c r="AG294" s="178">
        <f>INDEX('In-Use Stocks'!$M$81:$V$97,MATCH(dataforsankey!$AB294,'In-Use Stocks'!$L$81:$L$97,0),MATCH(dataforsankey!$Y294,'In-Use Stocks'!$M$80:$V$80,0))</f>
        <v>0.18235906264642615</v>
      </c>
      <c r="AH294" s="177" t="s">
        <v>30</v>
      </c>
    </row>
    <row r="295" spans="7:34" x14ac:dyDescent="0.2">
      <c r="G295" t="s">
        <v>69</v>
      </c>
      <c r="H295" t="s">
        <v>5</v>
      </c>
      <c r="I295">
        <f>SUMIFS('CompilationCalcs - EPA EOL'!$G$4:$G$264,'CompilationCalcs - EPA EOL'!$F$4:$F$264,dataforsankey!$H295,'CompilationCalcs - EPA EOL'!$A$4:$A$264,dataforsankey!$J295,'CompilationCalcs - EPA EOL'!$B$4:$B$264,dataforsankey!$G295)</f>
        <v>0</v>
      </c>
      <c r="J295" t="s">
        <v>122</v>
      </c>
      <c r="M295" t="s">
        <v>872</v>
      </c>
      <c r="N295" t="s">
        <v>103</v>
      </c>
      <c r="O295">
        <f>INDEX(PlasticsDataCompilation!$D$20:$D$36,MATCH(dataforsankey!$P295,PlasticsDataCompilation!$A$20:$A$36,0),1)*INDEX(PlasticsUse!$B$27:$L$43,MATCH(dataforsankey!$P295,PlasticsUse!$A$27:$A$43,0),MATCH($N295,PlasticsUse!$B$26:$L$26,0))</f>
        <v>0</v>
      </c>
      <c r="P295" t="s">
        <v>25</v>
      </c>
      <c r="S295" t="s">
        <v>92</v>
      </c>
      <c r="T295" t="s">
        <v>330</v>
      </c>
      <c r="U295" s="11">
        <f t="shared" si="29"/>
        <v>0</v>
      </c>
      <c r="V295" t="s">
        <v>30</v>
      </c>
      <c r="Y295" s="177" t="s">
        <v>92</v>
      </c>
      <c r="Z295" s="177" t="s">
        <v>330</v>
      </c>
      <c r="AA295" s="178">
        <f>INDEX('In-Use Stocks'!$M$81:$V$97,MATCH(dataforsankey!$AB295,'In-Use Stocks'!$L$81:$L$97,0),MATCH(dataforsankey!$Y295,'In-Use Stocks'!$M$80:$V$80,0))</f>
        <v>0</v>
      </c>
      <c r="AB295" s="177" t="s">
        <v>30</v>
      </c>
      <c r="AE295" s="177" t="s">
        <v>92</v>
      </c>
      <c r="AF295" s="177" t="s">
        <v>330</v>
      </c>
      <c r="AG295" s="178">
        <f>INDEX('In-Use Stocks'!$M$81:$V$97,MATCH(dataforsankey!$AB295,'In-Use Stocks'!$L$81:$L$97,0),MATCH(dataforsankey!$Y295,'In-Use Stocks'!$M$80:$V$80,0))</f>
        <v>0</v>
      </c>
      <c r="AH295" s="177" t="s">
        <v>30</v>
      </c>
    </row>
    <row r="296" spans="7:34" x14ac:dyDescent="0.2">
      <c r="G296" t="s">
        <v>69</v>
      </c>
      <c r="H296" t="s">
        <v>5</v>
      </c>
      <c r="I296">
        <f>SUMIFS('CompilationCalcs - EPA EOL'!$G$4:$G$264,'CompilationCalcs - EPA EOL'!$F$4:$F$264,dataforsankey!$H296,'CompilationCalcs - EPA EOL'!$A$4:$A$264,dataforsankey!$J296,'CompilationCalcs - EPA EOL'!$B$4:$B$264,dataforsankey!$G296)</f>
        <v>0</v>
      </c>
      <c r="J296" t="s">
        <v>82</v>
      </c>
      <c r="M296" t="s">
        <v>872</v>
      </c>
      <c r="N296" t="s">
        <v>86</v>
      </c>
      <c r="O296">
        <f>INDEX(PlasticsDataCompilation!$D$20:$D$36,MATCH(dataforsankey!$P296,PlasticsDataCompilation!$A$20:$A$36,0),1)*INDEX(PlasticsUse!$B$27:$L$43,MATCH(dataforsankey!$P296,PlasticsUse!$A$27:$A$43,0),MATCH($N296,PlasticsUse!$B$26:$L$26,0))</f>
        <v>1.0892722112880006E-2</v>
      </c>
      <c r="P296" t="s">
        <v>25</v>
      </c>
      <c r="S296" t="s">
        <v>103</v>
      </c>
      <c r="T296" t="s">
        <v>330</v>
      </c>
      <c r="U296" s="11">
        <f t="shared" si="29"/>
        <v>0.11144900980460934</v>
      </c>
      <c r="V296" t="s">
        <v>30</v>
      </c>
      <c r="Y296" s="177" t="s">
        <v>103</v>
      </c>
      <c r="Z296" s="177" t="s">
        <v>330</v>
      </c>
      <c r="AA296" s="178">
        <f>INDEX('In-Use Stocks'!$M$81:$V$97,MATCH(dataforsankey!$AB296,'In-Use Stocks'!$L$81:$L$97,0),MATCH(dataforsankey!$Y296,'In-Use Stocks'!$M$80:$V$80,0))</f>
        <v>0.11144900980460934</v>
      </c>
      <c r="AB296" s="177" t="s">
        <v>30</v>
      </c>
      <c r="AE296" s="177" t="s">
        <v>103</v>
      </c>
      <c r="AF296" s="177" t="s">
        <v>330</v>
      </c>
      <c r="AG296" s="178">
        <f>INDEX('In-Use Stocks'!$M$81:$V$97,MATCH(dataforsankey!$AB296,'In-Use Stocks'!$L$81:$L$97,0),MATCH(dataforsankey!$Y296,'In-Use Stocks'!$M$80:$V$80,0))</f>
        <v>0.11144900980460934</v>
      </c>
      <c r="AH296" s="177" t="s">
        <v>30</v>
      </c>
    </row>
    <row r="297" spans="7:34" x14ac:dyDescent="0.2">
      <c r="G297" t="s">
        <v>69</v>
      </c>
      <c r="H297" t="s">
        <v>6</v>
      </c>
      <c r="I297">
        <f>SUMIFS('CompilationCalcs - EPA EOL'!$G$4:$G$264,'CompilationCalcs - EPA EOL'!$F$4:$F$264,dataforsankey!$H297,'CompilationCalcs - EPA EOL'!$A$4:$A$264,dataforsankey!$J297,'CompilationCalcs - EPA EOL'!$B$4:$B$264,dataforsankey!$G297)</f>
        <v>0</v>
      </c>
      <c r="J297" t="s">
        <v>0</v>
      </c>
      <c r="M297" t="s">
        <v>872</v>
      </c>
      <c r="N297" t="s">
        <v>18</v>
      </c>
      <c r="O297">
        <f>INDEX(PlasticsDataCompilation!$D$20:$D$36,MATCH(dataforsankey!$P297,PlasticsDataCompilation!$A$20:$A$36,0),1)*INDEX(PlasticsUse!$B$27:$L$43,MATCH(dataforsankey!$P297,PlasticsUse!$A$27:$A$43,0),MATCH($N297,PlasticsUse!$B$26:$L$26,0))</f>
        <v>1.0892722112880006E-2</v>
      </c>
      <c r="P297" t="s">
        <v>25</v>
      </c>
      <c r="S297" t="s">
        <v>86</v>
      </c>
      <c r="T297" t="s">
        <v>330</v>
      </c>
      <c r="U297" s="11">
        <f t="shared" si="29"/>
        <v>7.4787977182170923E-2</v>
      </c>
      <c r="V297" t="s">
        <v>30</v>
      </c>
      <c r="Y297" s="177" t="s">
        <v>86</v>
      </c>
      <c r="Z297" s="177" t="s">
        <v>330</v>
      </c>
      <c r="AA297" s="178">
        <f>INDEX('In-Use Stocks'!$M$81:$V$97,MATCH(dataforsankey!$AB297,'In-Use Stocks'!$L$81:$L$97,0),MATCH(dataforsankey!$Y297,'In-Use Stocks'!$M$80:$V$80,0))</f>
        <v>7.4787977182170923E-2</v>
      </c>
      <c r="AB297" s="177" t="s">
        <v>30</v>
      </c>
      <c r="AE297" s="177" t="s">
        <v>86</v>
      </c>
      <c r="AF297" s="177" t="s">
        <v>330</v>
      </c>
      <c r="AG297" s="178">
        <f>INDEX('In-Use Stocks'!$M$81:$V$97,MATCH(dataforsankey!$AB297,'In-Use Stocks'!$L$81:$L$97,0),MATCH(dataforsankey!$Y297,'In-Use Stocks'!$M$80:$V$80,0))</f>
        <v>7.4787977182170923E-2</v>
      </c>
      <c r="AH297" s="177" t="s">
        <v>30</v>
      </c>
    </row>
    <row r="298" spans="7:34" x14ac:dyDescent="0.2">
      <c r="G298" t="s">
        <v>69</v>
      </c>
      <c r="H298" t="s">
        <v>6</v>
      </c>
      <c r="I298">
        <f>SUMIFS('CompilationCalcs - EPA EOL'!$G$4:$G$264,'CompilationCalcs - EPA EOL'!$F$4:$F$264,dataforsankey!$H298,'CompilationCalcs - EPA EOL'!$A$4:$A$264,dataforsankey!$J298,'CompilationCalcs - EPA EOL'!$B$4:$B$264,dataforsankey!$G298)</f>
        <v>0</v>
      </c>
      <c r="J298" t="s">
        <v>2</v>
      </c>
      <c r="M298" t="s">
        <v>872</v>
      </c>
      <c r="N298" t="s">
        <v>38</v>
      </c>
      <c r="O298">
        <f>INDEX(PlasticsDataCompilation!$D$20:$D$36,MATCH(dataforsankey!$P298,PlasticsDataCompilation!$A$20:$A$36,0),1)*INDEX(PlasticsUse!$B$27:$L$43,MATCH(dataforsankey!$P298,PlasticsUse!$A$27:$A$43,0),MATCH($N298,PlasticsUse!$B$26:$L$26,0))</f>
        <v>1.5940084389842124E-2</v>
      </c>
      <c r="P298" t="s">
        <v>7</v>
      </c>
      <c r="S298" t="s">
        <v>38</v>
      </c>
      <c r="T298" t="s">
        <v>330</v>
      </c>
      <c r="U298" s="11">
        <f t="shared" si="29"/>
        <v>0</v>
      </c>
      <c r="V298" t="s">
        <v>31</v>
      </c>
      <c r="Y298" s="177" t="s">
        <v>38</v>
      </c>
      <c r="Z298" s="177" t="s">
        <v>330</v>
      </c>
      <c r="AA298" s="178">
        <f>INDEX('In-Use Stocks'!$M$81:$V$97,MATCH(dataforsankey!$AB298,'In-Use Stocks'!$L$81:$L$97,0),MATCH(dataforsankey!$Y298,'In-Use Stocks'!$M$80:$V$80,0))</f>
        <v>0</v>
      </c>
      <c r="AB298" s="177" t="s">
        <v>31</v>
      </c>
      <c r="AE298" s="177" t="s">
        <v>38</v>
      </c>
      <c r="AF298" s="177" t="s">
        <v>330</v>
      </c>
      <c r="AG298" s="178">
        <f>INDEX('In-Use Stocks'!$M$81:$V$97,MATCH(dataforsankey!$AB298,'In-Use Stocks'!$L$81:$L$97,0),MATCH(dataforsankey!$Y298,'In-Use Stocks'!$M$80:$V$80,0))</f>
        <v>0</v>
      </c>
      <c r="AH298" s="177" t="s">
        <v>31</v>
      </c>
    </row>
    <row r="299" spans="7:34" x14ac:dyDescent="0.2">
      <c r="G299" t="s">
        <v>69</v>
      </c>
      <c r="H299" t="s">
        <v>6</v>
      </c>
      <c r="I299">
        <f>SUMIFS('CompilationCalcs - EPA EOL'!$G$4:$G$264,'CompilationCalcs - EPA EOL'!$F$4:$F$264,dataforsankey!$H299,'CompilationCalcs - EPA EOL'!$A$4:$A$264,dataforsankey!$J299,'CompilationCalcs - EPA EOL'!$B$4:$B$264,dataforsankey!$G299)</f>
        <v>3.5536543963663465E-2</v>
      </c>
      <c r="J299" t="s">
        <v>1</v>
      </c>
      <c r="M299" t="s">
        <v>872</v>
      </c>
      <c r="N299" t="s">
        <v>99</v>
      </c>
      <c r="O299">
        <f>INDEX(PlasticsDataCompilation!$D$20:$D$36,MATCH(dataforsankey!$P299,PlasticsDataCompilation!$A$20:$A$36,0),1)*INDEX(PlasticsUse!$B$27:$L$43,MATCH(dataforsankey!$P299,PlasticsUse!$A$27:$A$43,0),MATCH($N299,PlasticsUse!$B$26:$L$26,0))</f>
        <v>1.5940084389842124E-2</v>
      </c>
      <c r="P299" t="s">
        <v>7</v>
      </c>
      <c r="S299" t="s">
        <v>99</v>
      </c>
      <c r="T299" t="s">
        <v>330</v>
      </c>
      <c r="U299" s="11">
        <f t="shared" si="29"/>
        <v>0.16855729379694884</v>
      </c>
      <c r="V299" t="s">
        <v>31</v>
      </c>
      <c r="Y299" s="177" t="s">
        <v>99</v>
      </c>
      <c r="Z299" s="177" t="s">
        <v>330</v>
      </c>
      <c r="AA299" s="178">
        <f>INDEX('In-Use Stocks'!$M$81:$V$97,MATCH(dataforsankey!$AB299,'In-Use Stocks'!$L$81:$L$97,0),MATCH(dataforsankey!$Y299,'In-Use Stocks'!$M$80:$V$80,0))</f>
        <v>0.16855729379694884</v>
      </c>
      <c r="AB299" s="177" t="s">
        <v>31</v>
      </c>
      <c r="AE299" s="177" t="s">
        <v>99</v>
      </c>
      <c r="AF299" s="177" t="s">
        <v>330</v>
      </c>
      <c r="AG299" s="178">
        <f>INDEX('In-Use Stocks'!$M$81:$V$97,MATCH(dataforsankey!$AB299,'In-Use Stocks'!$L$81:$L$97,0),MATCH(dataforsankey!$Y299,'In-Use Stocks'!$M$80:$V$80,0))</f>
        <v>0.16855729379694884</v>
      </c>
      <c r="AH299" s="177" t="s">
        <v>31</v>
      </c>
    </row>
    <row r="300" spans="7:34" x14ac:dyDescent="0.2">
      <c r="G300" t="s">
        <v>69</v>
      </c>
      <c r="H300" t="s">
        <v>6</v>
      </c>
      <c r="I300">
        <f>SUMIFS('CompilationCalcs - EPA EOL'!$G$4:$G$264,'CompilationCalcs - EPA EOL'!$F$4:$F$264,dataforsankey!$H300,'CompilationCalcs - EPA EOL'!$A$4:$A$264,dataforsankey!$J300,'CompilationCalcs - EPA EOL'!$B$4:$B$264,dataforsankey!$G300)</f>
        <v>0</v>
      </c>
      <c r="J300" t="s">
        <v>7</v>
      </c>
      <c r="M300" t="s">
        <v>872</v>
      </c>
      <c r="N300" t="s">
        <v>69</v>
      </c>
      <c r="O300">
        <f>INDEX(PlasticsDataCompilation!$D$20:$D$36,MATCH(dataforsankey!$P300,PlasticsDataCompilation!$A$20:$A$36,0),1)*INDEX(PlasticsUse!$B$27:$L$43,MATCH(dataforsankey!$P300,PlasticsUse!$A$27:$A$43,0),MATCH($N300,PlasticsUse!$B$26:$L$26,0))</f>
        <v>1.5940084389842124E-2</v>
      </c>
      <c r="P300" t="s">
        <v>7</v>
      </c>
      <c r="S300" t="s">
        <v>69</v>
      </c>
      <c r="T300" t="s">
        <v>335</v>
      </c>
      <c r="U300" s="11">
        <f t="shared" si="29"/>
        <v>3.3151979060661384E-2</v>
      </c>
      <c r="V300" t="s">
        <v>31</v>
      </c>
      <c r="Y300" t="s">
        <v>69</v>
      </c>
      <c r="Z300" t="s">
        <v>335</v>
      </c>
      <c r="AA300" s="11">
        <f>SUMIFS($O$23:$O$953,$M$23:$M$953,Y300,$N$23:$N$953,Z300,$P$23:$P$953,AB300)</f>
        <v>3.3151979060661384E-2</v>
      </c>
      <c r="AB300" t="s">
        <v>31</v>
      </c>
      <c r="AE300" t="s">
        <v>69</v>
      </c>
      <c r="AF300" t="s">
        <v>335</v>
      </c>
      <c r="AG300" s="11">
        <f>SUMIFS($O$23:$O$953,$M$23:$M$953,AE300,$N$23:$N$953,AF300,$P$23:$P$953,AH300)</f>
        <v>3.3151979060661384E-2</v>
      </c>
      <c r="AH300" t="s">
        <v>31</v>
      </c>
    </row>
    <row r="301" spans="7:34" x14ac:dyDescent="0.2">
      <c r="G301" t="s">
        <v>69</v>
      </c>
      <c r="H301" t="s">
        <v>6</v>
      </c>
      <c r="I301">
        <f>SUMIFS('CompilationCalcs - EPA EOL'!$G$4:$G$264,'CompilationCalcs - EPA EOL'!$F$4:$F$264,dataforsankey!$H301,'CompilationCalcs - EPA EOL'!$A$4:$A$264,dataforsankey!$J301,'CompilationCalcs - EPA EOL'!$B$4:$B$264,dataforsankey!$G301)</f>
        <v>0</v>
      </c>
      <c r="J301" t="s">
        <v>8</v>
      </c>
      <c r="M301" t="s">
        <v>872</v>
      </c>
      <c r="N301" t="s">
        <v>100</v>
      </c>
      <c r="O301">
        <f>INDEX(PlasticsDataCompilation!$D$20:$D$36,MATCH(dataforsankey!$P301,PlasticsDataCompilation!$A$20:$A$36,0),1)*INDEX(PlasticsUse!$B$27:$L$43,MATCH(dataforsankey!$P301,PlasticsUse!$A$27:$A$43,0),MATCH($N301,PlasticsUse!$B$26:$L$26,0))</f>
        <v>1.5940084389842124E-2</v>
      </c>
      <c r="P301" t="s">
        <v>7</v>
      </c>
      <c r="S301" t="s">
        <v>100</v>
      </c>
      <c r="T301" t="s">
        <v>330</v>
      </c>
      <c r="U301" s="11">
        <f t="shared" si="29"/>
        <v>7.499716768996513E-2</v>
      </c>
      <c r="V301" t="s">
        <v>31</v>
      </c>
      <c r="Y301" s="177" t="s">
        <v>100</v>
      </c>
      <c r="Z301" s="177" t="s">
        <v>330</v>
      </c>
      <c r="AA301" s="178">
        <f>INDEX('In-Use Stocks'!$M$81:$V$97,MATCH(dataforsankey!$AB301,'In-Use Stocks'!$L$81:$L$97,0),MATCH(dataforsankey!$Y301,'In-Use Stocks'!$M$80:$V$80,0))</f>
        <v>7.499716768996513E-2</v>
      </c>
      <c r="AB301" s="177" t="s">
        <v>31</v>
      </c>
      <c r="AE301" s="177" t="s">
        <v>100</v>
      </c>
      <c r="AF301" s="177" t="s">
        <v>330</v>
      </c>
      <c r="AG301" s="178">
        <f>INDEX('In-Use Stocks'!$M$81:$V$97,MATCH(dataforsankey!$AB301,'In-Use Stocks'!$L$81:$L$97,0),MATCH(dataforsankey!$Y301,'In-Use Stocks'!$M$80:$V$80,0))</f>
        <v>7.499716768996513E-2</v>
      </c>
      <c r="AH301" s="177" t="s">
        <v>31</v>
      </c>
    </row>
    <row r="302" spans="7:34" x14ac:dyDescent="0.2">
      <c r="G302" t="s">
        <v>69</v>
      </c>
      <c r="H302" t="s">
        <v>6</v>
      </c>
      <c r="I302">
        <f>SUMIFS('CompilationCalcs - EPA EOL'!$G$4:$G$264,'CompilationCalcs - EPA EOL'!$F$4:$F$264,dataforsankey!$H302,'CompilationCalcs - EPA EOL'!$A$4:$A$264,dataforsankey!$J302,'CompilationCalcs - EPA EOL'!$B$4:$B$264,dataforsankey!$G302)</f>
        <v>0</v>
      </c>
      <c r="J302" t="s">
        <v>9</v>
      </c>
      <c r="M302" t="s">
        <v>872</v>
      </c>
      <c r="N302" t="s">
        <v>39</v>
      </c>
      <c r="O302">
        <f>INDEX(PlasticsDataCompilation!$D$20:$D$36,MATCH(dataforsankey!$P302,PlasticsDataCompilation!$A$20:$A$36,0),1)*INDEX(PlasticsUse!$B$27:$L$43,MATCH(dataforsankey!$P302,PlasticsUse!$A$27:$A$43,0),MATCH($N302,PlasticsUse!$B$26:$L$26,0))</f>
        <v>1.5940084389842124E-2</v>
      </c>
      <c r="P302" t="s">
        <v>7</v>
      </c>
      <c r="S302" t="s">
        <v>39</v>
      </c>
      <c r="T302" t="s">
        <v>330</v>
      </c>
      <c r="U302" s="11">
        <f t="shared" si="29"/>
        <v>0</v>
      </c>
      <c r="V302" t="s">
        <v>31</v>
      </c>
      <c r="Y302" s="177" t="s">
        <v>39</v>
      </c>
      <c r="Z302" s="177" t="s">
        <v>330</v>
      </c>
      <c r="AA302" s="178">
        <f>INDEX('In-Use Stocks'!$M$81:$V$97,MATCH(dataforsankey!$AB302,'In-Use Stocks'!$L$81:$L$97,0),MATCH(dataforsankey!$Y302,'In-Use Stocks'!$M$80:$V$80,0))</f>
        <v>0</v>
      </c>
      <c r="AB302" s="177" t="s">
        <v>31</v>
      </c>
      <c r="AE302" s="177" t="s">
        <v>39</v>
      </c>
      <c r="AF302" s="177" t="s">
        <v>330</v>
      </c>
      <c r="AG302" s="178">
        <f>INDEX('In-Use Stocks'!$M$81:$V$97,MATCH(dataforsankey!$AB302,'In-Use Stocks'!$L$81:$L$97,0),MATCH(dataforsankey!$Y302,'In-Use Stocks'!$M$80:$V$80,0))</f>
        <v>0</v>
      </c>
      <c r="AH302" s="177" t="s">
        <v>31</v>
      </c>
    </row>
    <row r="303" spans="7:34" x14ac:dyDescent="0.2">
      <c r="G303" t="s">
        <v>69</v>
      </c>
      <c r="H303" t="s">
        <v>6</v>
      </c>
      <c r="I303">
        <f>SUMIFS('CompilationCalcs - EPA EOL'!$G$4:$G$264,'CompilationCalcs - EPA EOL'!$F$4:$F$264,dataforsankey!$H303,'CompilationCalcs - EPA EOL'!$A$4:$A$264,dataforsankey!$J303,'CompilationCalcs - EPA EOL'!$B$4:$B$264,dataforsankey!$G303)</f>
        <v>0</v>
      </c>
      <c r="J303" t="s">
        <v>10</v>
      </c>
      <c r="M303" t="s">
        <v>872</v>
      </c>
      <c r="N303" t="s">
        <v>68</v>
      </c>
      <c r="O303">
        <f>INDEX(PlasticsDataCompilation!$D$20:$D$36,MATCH(dataforsankey!$P303,PlasticsDataCompilation!$A$20:$A$36,0),1)*INDEX(PlasticsUse!$B$27:$L$43,MATCH(dataforsankey!$P303,PlasticsUse!$A$27:$A$43,0),MATCH($N303,PlasticsUse!$B$26:$L$26,0))</f>
        <v>1.5940084389842124E-2</v>
      </c>
      <c r="P303" t="s">
        <v>7</v>
      </c>
      <c r="S303" t="s">
        <v>68</v>
      </c>
      <c r="T303" t="s">
        <v>330</v>
      </c>
      <c r="U303" s="11">
        <f t="shared" si="29"/>
        <v>0.13944888725784749</v>
      </c>
      <c r="V303" t="s">
        <v>31</v>
      </c>
      <c r="Y303" s="177" t="s">
        <v>68</v>
      </c>
      <c r="Z303" s="177" t="s">
        <v>330</v>
      </c>
      <c r="AA303" s="178">
        <f>INDEX('In-Use Stocks'!$M$81:$V$97,MATCH(dataforsankey!$AB303,'In-Use Stocks'!$L$81:$L$97,0),MATCH(dataforsankey!$Y303,'In-Use Stocks'!$M$80:$V$80,0))</f>
        <v>0.13944888725784749</v>
      </c>
      <c r="AB303" s="177" t="s">
        <v>31</v>
      </c>
      <c r="AE303" s="177" t="s">
        <v>68</v>
      </c>
      <c r="AF303" s="177" t="s">
        <v>330</v>
      </c>
      <c r="AG303" s="178">
        <f>INDEX('In-Use Stocks'!$M$81:$V$97,MATCH(dataforsankey!$AB303,'In-Use Stocks'!$L$81:$L$97,0),MATCH(dataforsankey!$Y303,'In-Use Stocks'!$M$80:$V$80,0))</f>
        <v>0.13944888725784749</v>
      </c>
      <c r="AH303" s="177" t="s">
        <v>31</v>
      </c>
    </row>
    <row r="304" spans="7:34" x14ac:dyDescent="0.2">
      <c r="G304" t="s">
        <v>69</v>
      </c>
      <c r="H304" t="s">
        <v>6</v>
      </c>
      <c r="I304">
        <f>SUMIFS('CompilationCalcs - EPA EOL'!$G$4:$G$264,'CompilationCalcs - EPA EOL'!$F$4:$F$264,dataforsankey!$H304,'CompilationCalcs - EPA EOL'!$A$4:$A$264,dataforsankey!$J304,'CompilationCalcs - EPA EOL'!$B$4:$B$264,dataforsankey!$G304)</f>
        <v>0</v>
      </c>
      <c r="J304" t="s">
        <v>11</v>
      </c>
      <c r="M304" t="s">
        <v>872</v>
      </c>
      <c r="N304" t="s">
        <v>63</v>
      </c>
      <c r="O304">
        <f>INDEX(PlasticsDataCompilation!$D$20:$D$36,MATCH(dataforsankey!$P304,PlasticsDataCompilation!$A$20:$A$36,0),1)*INDEX(PlasticsUse!$B$27:$L$43,MATCH(dataforsankey!$P304,PlasticsUse!$A$27:$A$43,0),MATCH($N304,PlasticsUse!$B$26:$L$26,0))</f>
        <v>1.5940084389842124E-2</v>
      </c>
      <c r="P304" t="s">
        <v>7</v>
      </c>
      <c r="S304" t="s">
        <v>63</v>
      </c>
      <c r="T304" t="s">
        <v>330</v>
      </c>
      <c r="U304" s="11">
        <f t="shared" si="29"/>
        <v>1.6875159822696266E-2</v>
      </c>
      <c r="V304" t="s">
        <v>31</v>
      </c>
      <c r="Y304" s="177" t="s">
        <v>63</v>
      </c>
      <c r="Z304" s="177" t="s">
        <v>330</v>
      </c>
      <c r="AA304" s="178">
        <f>INDEX('In-Use Stocks'!$M$81:$V$97,MATCH(dataforsankey!$AB304,'In-Use Stocks'!$L$81:$L$97,0),MATCH(dataforsankey!$Y304,'In-Use Stocks'!$M$80:$V$80,0))</f>
        <v>1.6875159822696266E-2</v>
      </c>
      <c r="AB304" s="177" t="s">
        <v>31</v>
      </c>
      <c r="AE304" s="177" t="s">
        <v>63</v>
      </c>
      <c r="AF304" s="177" t="s">
        <v>330</v>
      </c>
      <c r="AG304" s="178">
        <f>INDEX('In-Use Stocks'!$M$81:$V$97,MATCH(dataforsankey!$AB304,'In-Use Stocks'!$L$81:$L$97,0),MATCH(dataforsankey!$Y304,'In-Use Stocks'!$M$80:$V$80,0))</f>
        <v>1.6875159822696266E-2</v>
      </c>
      <c r="AH304" s="177" t="s">
        <v>31</v>
      </c>
    </row>
    <row r="305" spans="7:34" x14ac:dyDescent="0.2">
      <c r="G305" t="s">
        <v>69</v>
      </c>
      <c r="H305" t="s">
        <v>6</v>
      </c>
      <c r="I305">
        <f>SUMIFS('CompilationCalcs - EPA EOL'!$G$4:$G$264,'CompilationCalcs - EPA EOL'!$F$4:$F$264,dataforsankey!$H305,'CompilationCalcs - EPA EOL'!$A$4:$A$264,dataforsankey!$J305,'CompilationCalcs - EPA EOL'!$B$4:$B$264,dataforsankey!$G305)</f>
        <v>0</v>
      </c>
      <c r="J305" t="s">
        <v>127</v>
      </c>
      <c r="M305" t="s">
        <v>872</v>
      </c>
      <c r="N305" t="s">
        <v>92</v>
      </c>
      <c r="O305">
        <f>INDEX(PlasticsDataCompilation!$D$20:$D$36,MATCH(dataforsankey!$P305,PlasticsDataCompilation!$A$20:$A$36,0),1)*INDEX(PlasticsUse!$B$27:$L$43,MATCH(dataforsankey!$P305,PlasticsUse!$A$27:$A$43,0),MATCH($N305,PlasticsUse!$B$26:$L$26,0))</f>
        <v>1.5940084389842124E-2</v>
      </c>
      <c r="P305" t="s">
        <v>7</v>
      </c>
      <c r="S305" t="s">
        <v>92</v>
      </c>
      <c r="T305" t="s">
        <v>330</v>
      </c>
      <c r="U305" s="11">
        <f t="shared" si="29"/>
        <v>0</v>
      </c>
      <c r="V305" t="s">
        <v>31</v>
      </c>
      <c r="Y305" s="177" t="s">
        <v>92</v>
      </c>
      <c r="Z305" s="177" t="s">
        <v>330</v>
      </c>
      <c r="AA305" s="178">
        <f>INDEX('In-Use Stocks'!$M$81:$V$97,MATCH(dataforsankey!$AB305,'In-Use Stocks'!$L$81:$L$97,0),MATCH(dataforsankey!$Y305,'In-Use Stocks'!$M$80:$V$80,0))</f>
        <v>0</v>
      </c>
      <c r="AB305" s="177" t="s">
        <v>31</v>
      </c>
      <c r="AE305" s="177" t="s">
        <v>92</v>
      </c>
      <c r="AF305" s="177" t="s">
        <v>330</v>
      </c>
      <c r="AG305" s="178">
        <f>INDEX('In-Use Stocks'!$M$81:$V$97,MATCH(dataforsankey!$AB305,'In-Use Stocks'!$L$81:$L$97,0),MATCH(dataforsankey!$Y305,'In-Use Stocks'!$M$80:$V$80,0))</f>
        <v>0</v>
      </c>
      <c r="AH305" s="177" t="s">
        <v>31</v>
      </c>
    </row>
    <row r="306" spans="7:34" x14ac:dyDescent="0.2">
      <c r="G306" t="s">
        <v>69</v>
      </c>
      <c r="H306" t="s">
        <v>6</v>
      </c>
      <c r="I306">
        <f>SUMIFS('CompilationCalcs - EPA EOL'!$G$4:$G$264,'CompilationCalcs - EPA EOL'!$F$4:$F$264,dataforsankey!$H306,'CompilationCalcs - EPA EOL'!$A$4:$A$264,dataforsankey!$J306,'CompilationCalcs - EPA EOL'!$B$4:$B$264,dataforsankey!$G306)</f>
        <v>0</v>
      </c>
      <c r="J306" t="s">
        <v>122</v>
      </c>
      <c r="M306" t="s">
        <v>872</v>
      </c>
      <c r="N306" t="s">
        <v>103</v>
      </c>
      <c r="O306">
        <f>INDEX(PlasticsDataCompilation!$D$20:$D$36,MATCH(dataforsankey!$P306,PlasticsDataCompilation!$A$20:$A$36,0),1)*INDEX(PlasticsUse!$B$27:$L$43,MATCH(dataforsankey!$P306,PlasticsUse!$A$27:$A$43,0),MATCH($N306,PlasticsUse!$B$26:$L$26,0))</f>
        <v>0</v>
      </c>
      <c r="P306" t="s">
        <v>7</v>
      </c>
      <c r="S306" t="s">
        <v>103</v>
      </c>
      <c r="T306" t="s">
        <v>330</v>
      </c>
      <c r="U306" s="11">
        <f t="shared" si="29"/>
        <v>0.54781120484008372</v>
      </c>
      <c r="V306" t="s">
        <v>31</v>
      </c>
      <c r="Y306" s="177" t="s">
        <v>103</v>
      </c>
      <c r="Z306" s="177" t="s">
        <v>330</v>
      </c>
      <c r="AA306" s="178">
        <f>INDEX('In-Use Stocks'!$M$81:$V$97,MATCH(dataforsankey!$AB306,'In-Use Stocks'!$L$81:$L$97,0),MATCH(dataforsankey!$Y306,'In-Use Stocks'!$M$80:$V$80,0))</f>
        <v>0.54781120484008372</v>
      </c>
      <c r="AB306" s="177" t="s">
        <v>31</v>
      </c>
      <c r="AE306" s="177" t="s">
        <v>103</v>
      </c>
      <c r="AF306" s="177" t="s">
        <v>330</v>
      </c>
      <c r="AG306" s="178">
        <f>INDEX('In-Use Stocks'!$M$81:$V$97,MATCH(dataforsankey!$AB306,'In-Use Stocks'!$L$81:$L$97,0),MATCH(dataforsankey!$Y306,'In-Use Stocks'!$M$80:$V$80,0))</f>
        <v>0.54781120484008372</v>
      </c>
      <c r="AH306" s="177" t="s">
        <v>31</v>
      </c>
    </row>
    <row r="307" spans="7:34" x14ac:dyDescent="0.2">
      <c r="G307" t="s">
        <v>69</v>
      </c>
      <c r="H307" t="s">
        <v>6</v>
      </c>
      <c r="I307">
        <f>SUMIFS('CompilationCalcs - EPA EOL'!$G$4:$G$264,'CompilationCalcs - EPA EOL'!$F$4:$F$264,dataforsankey!$H307,'CompilationCalcs - EPA EOL'!$A$4:$A$264,dataforsankey!$J307,'CompilationCalcs - EPA EOL'!$B$4:$B$264,dataforsankey!$G307)</f>
        <v>0</v>
      </c>
      <c r="J307" t="s">
        <v>82</v>
      </c>
      <c r="M307" t="s">
        <v>872</v>
      </c>
      <c r="N307" t="s">
        <v>86</v>
      </c>
      <c r="O307">
        <f>INDEX(PlasticsDataCompilation!$D$20:$D$36,MATCH(dataforsankey!$P307,PlasticsDataCompilation!$A$20:$A$36,0),1)*INDEX(PlasticsUse!$B$27:$L$43,MATCH(dataforsankey!$P307,PlasticsUse!$A$27:$A$43,0),MATCH($N307,PlasticsUse!$B$26:$L$26,0))</f>
        <v>1.5940084389842124E-2</v>
      </c>
      <c r="P307" t="s">
        <v>7</v>
      </c>
      <c r="S307" t="s">
        <v>86</v>
      </c>
      <c r="T307" t="s">
        <v>330</v>
      </c>
      <c r="U307" s="11">
        <f t="shared" si="29"/>
        <v>0</v>
      </c>
      <c r="V307" t="s">
        <v>31</v>
      </c>
      <c r="Y307" s="177" t="s">
        <v>86</v>
      </c>
      <c r="Z307" s="177" t="s">
        <v>330</v>
      </c>
      <c r="AA307" s="178">
        <f>INDEX('In-Use Stocks'!$M$81:$V$97,MATCH(dataforsankey!$AB307,'In-Use Stocks'!$L$81:$L$97,0),MATCH(dataforsankey!$Y307,'In-Use Stocks'!$M$80:$V$80,0))</f>
        <v>0</v>
      </c>
      <c r="AB307" s="177" t="s">
        <v>31</v>
      </c>
      <c r="AE307" s="177" t="s">
        <v>86</v>
      </c>
      <c r="AF307" s="177" t="s">
        <v>330</v>
      </c>
      <c r="AG307" s="178">
        <f>INDEX('In-Use Stocks'!$M$81:$V$97,MATCH(dataforsankey!$AB307,'In-Use Stocks'!$L$81:$L$97,0),MATCH(dataforsankey!$Y307,'In-Use Stocks'!$M$80:$V$80,0))</f>
        <v>0</v>
      </c>
      <c r="AH307" s="177" t="s">
        <v>31</v>
      </c>
    </row>
    <row r="308" spans="7:34" x14ac:dyDescent="0.2">
      <c r="G308" t="s">
        <v>100</v>
      </c>
      <c r="H308" t="s">
        <v>4</v>
      </c>
      <c r="I308">
        <f>SUMIFS('CompilationCalcs - EPA EOL'!$G$4:$G$264,'CompilationCalcs - EPA EOL'!$F$4:$F$264,dataforsankey!$H308,'CompilationCalcs - EPA EOL'!$A$4:$A$264,dataforsankey!$J308,'CompilationCalcs - EPA EOL'!$B$4:$B$264,dataforsankey!$G308)</f>
        <v>0</v>
      </c>
      <c r="J308" t="s">
        <v>0</v>
      </c>
      <c r="M308" t="s">
        <v>872</v>
      </c>
      <c r="N308" t="s">
        <v>18</v>
      </c>
      <c r="O308">
        <f>INDEX(PlasticsDataCompilation!$D$20:$D$36,MATCH(dataforsankey!$P308,PlasticsDataCompilation!$A$20:$A$36,0),1)*INDEX(PlasticsUse!$B$27:$L$43,MATCH(dataforsankey!$P308,PlasticsUse!$A$27:$A$43,0),MATCH($N308,PlasticsUse!$B$26:$L$26,0))</f>
        <v>1.5940084389842124E-2</v>
      </c>
      <c r="P308" t="s">
        <v>7</v>
      </c>
      <c r="S308" t="s">
        <v>38</v>
      </c>
      <c r="T308" t="s">
        <v>330</v>
      </c>
      <c r="U308" s="11">
        <f t="shared" si="29"/>
        <v>0</v>
      </c>
      <c r="V308" t="s">
        <v>122</v>
      </c>
      <c r="Y308" s="177" t="s">
        <v>38</v>
      </c>
      <c r="Z308" s="177" t="s">
        <v>330</v>
      </c>
      <c r="AA308" s="178">
        <f>INDEX('In-Use Stocks'!$M$81:$V$97,MATCH(dataforsankey!$AB308,'In-Use Stocks'!$L$81:$L$97,0),MATCH(dataforsankey!$Y308,'In-Use Stocks'!$M$80:$V$80,0))</f>
        <v>0</v>
      </c>
      <c r="AB308" s="177" t="s">
        <v>122</v>
      </c>
      <c r="AE308" s="177" t="s">
        <v>38</v>
      </c>
      <c r="AF308" s="177" t="s">
        <v>330</v>
      </c>
      <c r="AG308" s="178">
        <f>INDEX('In-Use Stocks'!$M$81:$V$97,MATCH(dataforsankey!$AB308,'In-Use Stocks'!$L$81:$L$97,0),MATCH(dataforsankey!$Y308,'In-Use Stocks'!$M$80:$V$80,0))</f>
        <v>0</v>
      </c>
      <c r="AH308" s="177" t="s">
        <v>122</v>
      </c>
    </row>
    <row r="309" spans="7:34" x14ac:dyDescent="0.2">
      <c r="G309" t="s">
        <v>100</v>
      </c>
      <c r="H309" t="s">
        <v>4</v>
      </c>
      <c r="I309">
        <f>SUMIFS('CompilationCalcs - EPA EOL'!$G$4:$G$264,'CompilationCalcs - EPA EOL'!$F$4:$F$264,dataforsankey!$H309,'CompilationCalcs - EPA EOL'!$A$4:$A$264,dataforsankey!$J309,'CompilationCalcs - EPA EOL'!$B$4:$B$264,dataforsankey!$G309)</f>
        <v>0</v>
      </c>
      <c r="J309" t="s">
        <v>2</v>
      </c>
      <c r="M309" t="s">
        <v>872</v>
      </c>
      <c r="N309" t="s">
        <v>38</v>
      </c>
      <c r="O309">
        <f>INDEX(PlasticsDataCompilation!$D$20:$D$36,MATCH(dataforsankey!$P309,PlasticsDataCompilation!$A$20:$A$36,0),1)*INDEX(PlasticsUse!$B$27:$L$43,MATCH(dataforsankey!$P309,PlasticsUse!$A$27:$A$43,0),MATCH($N309,PlasticsUse!$B$26:$L$26,0))</f>
        <v>0</v>
      </c>
      <c r="P309" t="s">
        <v>2</v>
      </c>
      <c r="S309" t="s">
        <v>99</v>
      </c>
      <c r="T309" t="s">
        <v>330</v>
      </c>
      <c r="U309" s="11">
        <f t="shared" si="29"/>
        <v>0</v>
      </c>
      <c r="V309" t="s">
        <v>122</v>
      </c>
      <c r="Y309" s="177" t="s">
        <v>99</v>
      </c>
      <c r="Z309" s="177" t="s">
        <v>330</v>
      </c>
      <c r="AA309" s="178">
        <f>INDEX('In-Use Stocks'!$M$81:$V$97,MATCH(dataforsankey!$AB309,'In-Use Stocks'!$L$81:$L$97,0),MATCH(dataforsankey!$Y309,'In-Use Stocks'!$M$80:$V$80,0))</f>
        <v>0</v>
      </c>
      <c r="AB309" s="177" t="s">
        <v>122</v>
      </c>
      <c r="AE309" s="177" t="s">
        <v>99</v>
      </c>
      <c r="AF309" s="177" t="s">
        <v>330</v>
      </c>
      <c r="AG309" s="178">
        <f>INDEX('In-Use Stocks'!$M$81:$V$97,MATCH(dataforsankey!$AB309,'In-Use Stocks'!$L$81:$L$97,0),MATCH(dataforsankey!$Y309,'In-Use Stocks'!$M$80:$V$80,0))</f>
        <v>0</v>
      </c>
      <c r="AH309" s="177" t="s">
        <v>122</v>
      </c>
    </row>
    <row r="310" spans="7:34" x14ac:dyDescent="0.2">
      <c r="G310" t="s">
        <v>100</v>
      </c>
      <c r="H310" t="s">
        <v>4</v>
      </c>
      <c r="I310">
        <f>SUMIFS('CompilationCalcs - EPA EOL'!$G$4:$G$264,'CompilationCalcs - EPA EOL'!$F$4:$F$264,dataforsankey!$H310,'CompilationCalcs - EPA EOL'!$A$4:$A$264,dataforsankey!$J310,'CompilationCalcs - EPA EOL'!$B$4:$B$264,dataforsankey!$G310)</f>
        <v>4.6280150278259401E-2</v>
      </c>
      <c r="J310" t="s">
        <v>1</v>
      </c>
      <c r="M310" t="s">
        <v>872</v>
      </c>
      <c r="N310" t="s">
        <v>99</v>
      </c>
      <c r="O310">
        <f>INDEX(PlasticsDataCompilation!$D$20:$D$36,MATCH(dataforsankey!$P310,PlasticsDataCompilation!$A$20:$A$36,0),1)*INDEX(PlasticsUse!$B$27:$L$43,MATCH(dataforsankey!$P310,PlasticsUse!$A$27:$A$43,0),MATCH($N310,PlasticsUse!$B$26:$L$26,0))</f>
        <v>0</v>
      </c>
      <c r="P310" t="s">
        <v>2</v>
      </c>
      <c r="S310" t="s">
        <v>69</v>
      </c>
      <c r="T310" t="s">
        <v>335</v>
      </c>
      <c r="U310" s="11">
        <f t="shared" si="29"/>
        <v>0</v>
      </c>
      <c r="V310" t="s">
        <v>122</v>
      </c>
      <c r="Y310" t="s">
        <v>69</v>
      </c>
      <c r="Z310" t="s">
        <v>335</v>
      </c>
      <c r="AA310" s="11">
        <f>SUMIFS($O$23:$O$953,$M$23:$M$953,Y310,$N$23:$N$953,Z310,$P$23:$P$953,AB310)</f>
        <v>0</v>
      </c>
      <c r="AB310" t="s">
        <v>122</v>
      </c>
      <c r="AE310" t="s">
        <v>69</v>
      </c>
      <c r="AF310" t="s">
        <v>335</v>
      </c>
      <c r="AG310" s="11">
        <f>SUMIFS($O$23:$O$953,$M$23:$M$953,AE310,$N$23:$N$953,AF310,$P$23:$P$953,AH310)</f>
        <v>0</v>
      </c>
      <c r="AH310" t="s">
        <v>122</v>
      </c>
    </row>
    <row r="311" spans="7:34" x14ac:dyDescent="0.2">
      <c r="G311" t="s">
        <v>100</v>
      </c>
      <c r="H311" t="s">
        <v>4</v>
      </c>
      <c r="I311">
        <f>SUMIFS('CompilationCalcs - EPA EOL'!$G$4:$G$264,'CompilationCalcs - EPA EOL'!$F$4:$F$264,dataforsankey!$H311,'CompilationCalcs - EPA EOL'!$A$4:$A$264,dataforsankey!$J311,'CompilationCalcs - EPA EOL'!$B$4:$B$264,dataforsankey!$G311)</f>
        <v>0</v>
      </c>
      <c r="J311" t="s">
        <v>7</v>
      </c>
      <c r="M311" t="s">
        <v>872</v>
      </c>
      <c r="N311" t="s">
        <v>69</v>
      </c>
      <c r="O311">
        <f>INDEX(PlasticsDataCompilation!$D$20:$D$36,MATCH(dataforsankey!$P311,PlasticsDataCompilation!$A$20:$A$36,0),1)*INDEX(PlasticsUse!$B$27:$L$43,MATCH(dataforsankey!$P311,PlasticsUse!$A$27:$A$43,0),MATCH($N311,PlasticsUse!$B$26:$L$26,0))</f>
        <v>0</v>
      </c>
      <c r="P311" t="s">
        <v>2</v>
      </c>
      <c r="S311" t="s">
        <v>100</v>
      </c>
      <c r="T311" t="s">
        <v>330</v>
      </c>
      <c r="U311" s="11">
        <f t="shared" si="29"/>
        <v>0</v>
      </c>
      <c r="V311" t="s">
        <v>122</v>
      </c>
      <c r="Y311" s="177" t="s">
        <v>100</v>
      </c>
      <c r="Z311" s="177" t="s">
        <v>330</v>
      </c>
      <c r="AA311" s="178">
        <f>INDEX('In-Use Stocks'!$M$81:$V$97,MATCH(dataforsankey!$AB311,'In-Use Stocks'!$L$81:$L$97,0),MATCH(dataforsankey!$Y311,'In-Use Stocks'!$M$80:$V$80,0))</f>
        <v>0</v>
      </c>
      <c r="AB311" s="177" t="s">
        <v>122</v>
      </c>
      <c r="AE311" s="177" t="s">
        <v>100</v>
      </c>
      <c r="AF311" s="177" t="s">
        <v>330</v>
      </c>
      <c r="AG311" s="178">
        <f>INDEX('In-Use Stocks'!$M$81:$V$97,MATCH(dataforsankey!$AB311,'In-Use Stocks'!$L$81:$L$97,0),MATCH(dataforsankey!$Y311,'In-Use Stocks'!$M$80:$V$80,0))</f>
        <v>0</v>
      </c>
      <c r="AH311" s="177" t="s">
        <v>122</v>
      </c>
    </row>
    <row r="312" spans="7:34" x14ac:dyDescent="0.2">
      <c r="G312" t="s">
        <v>100</v>
      </c>
      <c r="H312" t="s">
        <v>4</v>
      </c>
      <c r="I312">
        <f>SUMIFS('CompilationCalcs - EPA EOL'!$G$4:$G$264,'CompilationCalcs - EPA EOL'!$F$4:$F$264,dataforsankey!$H312,'CompilationCalcs - EPA EOL'!$A$4:$A$264,dataforsankey!$J312,'CompilationCalcs - EPA EOL'!$B$4:$B$264,dataforsankey!$G312)</f>
        <v>3.0577956433849963E-2</v>
      </c>
      <c r="J312" t="s">
        <v>8</v>
      </c>
      <c r="M312" t="s">
        <v>872</v>
      </c>
      <c r="N312" t="s">
        <v>100</v>
      </c>
      <c r="O312">
        <f>INDEX(PlasticsDataCompilation!$D$20:$D$36,MATCH(dataforsankey!$P312,PlasticsDataCompilation!$A$20:$A$36,0),1)*INDEX(PlasticsUse!$B$27:$L$43,MATCH(dataforsankey!$P312,PlasticsUse!$A$27:$A$43,0),MATCH($N312,PlasticsUse!$B$26:$L$26,0))</f>
        <v>0</v>
      </c>
      <c r="P312" t="s">
        <v>2</v>
      </c>
      <c r="S312" t="s">
        <v>39</v>
      </c>
      <c r="T312" t="s">
        <v>330</v>
      </c>
      <c r="U312" s="11">
        <f t="shared" si="29"/>
        <v>0</v>
      </c>
      <c r="V312" t="s">
        <v>122</v>
      </c>
      <c r="Y312" s="177" t="s">
        <v>39</v>
      </c>
      <c r="Z312" s="177" t="s">
        <v>330</v>
      </c>
      <c r="AA312" s="178">
        <f>INDEX('In-Use Stocks'!$M$81:$V$97,MATCH(dataforsankey!$AB312,'In-Use Stocks'!$L$81:$L$97,0),MATCH(dataforsankey!$Y312,'In-Use Stocks'!$M$80:$V$80,0))</f>
        <v>0</v>
      </c>
      <c r="AB312" s="177" t="s">
        <v>122</v>
      </c>
      <c r="AE312" s="177" t="s">
        <v>39</v>
      </c>
      <c r="AF312" s="177" t="s">
        <v>330</v>
      </c>
      <c r="AG312" s="178">
        <f>INDEX('In-Use Stocks'!$M$81:$V$97,MATCH(dataforsankey!$AB312,'In-Use Stocks'!$L$81:$L$97,0),MATCH(dataforsankey!$Y312,'In-Use Stocks'!$M$80:$V$80,0))</f>
        <v>0</v>
      </c>
      <c r="AH312" s="177" t="s">
        <v>122</v>
      </c>
    </row>
    <row r="313" spans="7:34" x14ac:dyDescent="0.2">
      <c r="G313" t="s">
        <v>100</v>
      </c>
      <c r="H313" t="s">
        <v>4</v>
      </c>
      <c r="I313">
        <f>SUMIFS('CompilationCalcs - EPA EOL'!$G$4:$G$264,'CompilationCalcs - EPA EOL'!$F$4:$F$264,dataforsankey!$H313,'CompilationCalcs - EPA EOL'!$A$4:$A$264,dataforsankey!$J313,'CompilationCalcs - EPA EOL'!$B$4:$B$264,dataforsankey!$G313)</f>
        <v>0</v>
      </c>
      <c r="J313" t="s">
        <v>9</v>
      </c>
      <c r="M313" t="s">
        <v>872</v>
      </c>
      <c r="N313" t="s">
        <v>39</v>
      </c>
      <c r="O313">
        <f>INDEX(PlasticsDataCompilation!$D$20:$D$36,MATCH(dataforsankey!$P313,PlasticsDataCompilation!$A$20:$A$36,0),1)*INDEX(PlasticsUse!$B$27:$L$43,MATCH(dataforsankey!$P313,PlasticsUse!$A$27:$A$43,0),MATCH($N313,PlasticsUse!$B$26:$L$26,0))</f>
        <v>0.46791364732991519</v>
      </c>
      <c r="P313" t="s">
        <v>2</v>
      </c>
      <c r="S313" t="s">
        <v>68</v>
      </c>
      <c r="T313" t="s">
        <v>330</v>
      </c>
      <c r="U313" s="11">
        <f t="shared" si="29"/>
        <v>0</v>
      </c>
      <c r="V313" t="s">
        <v>122</v>
      </c>
      <c r="Y313" s="177" t="s">
        <v>68</v>
      </c>
      <c r="Z313" s="177" t="s">
        <v>330</v>
      </c>
      <c r="AA313" s="178">
        <f>INDEX('In-Use Stocks'!$M$81:$V$97,MATCH(dataforsankey!$AB313,'In-Use Stocks'!$L$81:$L$97,0),MATCH(dataforsankey!$Y313,'In-Use Stocks'!$M$80:$V$80,0))</f>
        <v>0</v>
      </c>
      <c r="AB313" s="177" t="s">
        <v>122</v>
      </c>
      <c r="AE313" s="177" t="s">
        <v>68</v>
      </c>
      <c r="AF313" s="177" t="s">
        <v>330</v>
      </c>
      <c r="AG313" s="178">
        <f>INDEX('In-Use Stocks'!$M$81:$V$97,MATCH(dataforsankey!$AB313,'In-Use Stocks'!$L$81:$L$97,0),MATCH(dataforsankey!$Y313,'In-Use Stocks'!$M$80:$V$80,0))</f>
        <v>0</v>
      </c>
      <c r="AH313" s="177" t="s">
        <v>122</v>
      </c>
    </row>
    <row r="314" spans="7:34" x14ac:dyDescent="0.2">
      <c r="G314" t="s">
        <v>100</v>
      </c>
      <c r="H314" t="s">
        <v>4</v>
      </c>
      <c r="I314">
        <f>SUMIFS('CompilationCalcs - EPA EOL'!$G$4:$G$264,'CompilationCalcs - EPA EOL'!$F$4:$F$264,dataforsankey!$H314,'CompilationCalcs - EPA EOL'!$A$4:$A$264,dataforsankey!$J314,'CompilationCalcs - EPA EOL'!$B$4:$B$264,dataforsankey!$G314)</f>
        <v>4.1321562748445895E-3</v>
      </c>
      <c r="J314" t="s">
        <v>10</v>
      </c>
      <c r="M314" t="s">
        <v>872</v>
      </c>
      <c r="N314" t="s">
        <v>68</v>
      </c>
      <c r="O314">
        <f>INDEX(PlasticsDataCompilation!$D$20:$D$36,MATCH(dataforsankey!$P314,PlasticsDataCompilation!$A$20:$A$36,0),1)*INDEX(PlasticsUse!$B$27:$L$43,MATCH(dataforsankey!$P314,PlasticsUse!$A$27:$A$43,0),MATCH($N314,PlasticsUse!$B$26:$L$26,0))</f>
        <v>0</v>
      </c>
      <c r="P314" t="s">
        <v>2</v>
      </c>
      <c r="S314" t="s">
        <v>63</v>
      </c>
      <c r="T314" t="s">
        <v>330</v>
      </c>
      <c r="U314" s="11">
        <f t="shared" si="29"/>
        <v>0</v>
      </c>
      <c r="V314" t="s">
        <v>122</v>
      </c>
      <c r="Y314" s="177" t="s">
        <v>63</v>
      </c>
      <c r="Z314" s="177" t="s">
        <v>330</v>
      </c>
      <c r="AA314" s="178">
        <f>INDEX('In-Use Stocks'!$M$81:$V$97,MATCH(dataforsankey!$AB314,'In-Use Stocks'!$L$81:$L$97,0),MATCH(dataforsankey!$Y314,'In-Use Stocks'!$M$80:$V$80,0))</f>
        <v>0</v>
      </c>
      <c r="AB314" s="177" t="s">
        <v>122</v>
      </c>
      <c r="AE314" s="177" t="s">
        <v>63</v>
      </c>
      <c r="AF314" s="177" t="s">
        <v>330</v>
      </c>
      <c r="AG314" s="178">
        <f>INDEX('In-Use Stocks'!$M$81:$V$97,MATCH(dataforsankey!$AB314,'In-Use Stocks'!$L$81:$L$97,0),MATCH(dataforsankey!$Y314,'In-Use Stocks'!$M$80:$V$80,0))</f>
        <v>0</v>
      </c>
      <c r="AH314" s="177" t="s">
        <v>122</v>
      </c>
    </row>
    <row r="315" spans="7:34" x14ac:dyDescent="0.2">
      <c r="G315" t="s">
        <v>100</v>
      </c>
      <c r="H315" t="s">
        <v>4</v>
      </c>
      <c r="I315">
        <f>SUMIFS('CompilationCalcs - EPA EOL'!$G$4:$G$264,'CompilationCalcs - EPA EOL'!$F$4:$F$264,dataforsankey!$H315,'CompilationCalcs - EPA EOL'!$A$4:$A$264,dataforsankey!$J315,'CompilationCalcs - EPA EOL'!$B$4:$B$264,dataforsankey!$G315)</f>
        <v>1.6528625099378356E-3</v>
      </c>
      <c r="J315" t="s">
        <v>11</v>
      </c>
      <c r="M315" t="s">
        <v>872</v>
      </c>
      <c r="N315" t="s">
        <v>63</v>
      </c>
      <c r="O315">
        <f>INDEX(PlasticsDataCompilation!$D$20:$D$36,MATCH(dataforsankey!$P315,PlasticsDataCompilation!$A$20:$A$36,0),1)*INDEX(PlasticsUse!$B$27:$L$43,MATCH(dataforsankey!$P315,PlasticsUse!$A$27:$A$43,0),MATCH($N315,PlasticsUse!$B$26:$L$26,0))</f>
        <v>0</v>
      </c>
      <c r="P315" t="s">
        <v>2</v>
      </c>
      <c r="S315" t="s">
        <v>92</v>
      </c>
      <c r="T315" t="s">
        <v>330</v>
      </c>
      <c r="U315" s="11">
        <f t="shared" si="29"/>
        <v>0</v>
      </c>
      <c r="V315" t="s">
        <v>122</v>
      </c>
      <c r="Y315" s="177" t="s">
        <v>92</v>
      </c>
      <c r="Z315" s="177" t="s">
        <v>330</v>
      </c>
      <c r="AA315" s="178">
        <f>INDEX('In-Use Stocks'!$M$81:$V$97,MATCH(dataforsankey!$AB315,'In-Use Stocks'!$L$81:$L$97,0),MATCH(dataforsankey!$Y315,'In-Use Stocks'!$M$80:$V$80,0))</f>
        <v>0</v>
      </c>
      <c r="AB315" s="177" t="s">
        <v>122</v>
      </c>
      <c r="AE315" s="177" t="s">
        <v>92</v>
      </c>
      <c r="AF315" s="177" t="s">
        <v>330</v>
      </c>
      <c r="AG315" s="178">
        <f>INDEX('In-Use Stocks'!$M$81:$V$97,MATCH(dataforsankey!$AB315,'In-Use Stocks'!$L$81:$L$97,0),MATCH(dataforsankey!$Y315,'In-Use Stocks'!$M$80:$V$80,0))</f>
        <v>0</v>
      </c>
      <c r="AH315" s="177" t="s">
        <v>122</v>
      </c>
    </row>
    <row r="316" spans="7:34" x14ac:dyDescent="0.2">
      <c r="G316" t="s">
        <v>100</v>
      </c>
      <c r="H316" t="s">
        <v>4</v>
      </c>
      <c r="I316">
        <f>SUMIFS('CompilationCalcs - EPA EOL'!$G$4:$G$264,'CompilationCalcs - EPA EOL'!$F$4:$F$264,dataforsankey!$H316,'CompilationCalcs - EPA EOL'!$A$4:$A$264,dataforsankey!$J316,'CompilationCalcs - EPA EOL'!$B$4:$B$264,dataforsankey!$G316)</f>
        <v>0</v>
      </c>
      <c r="J316" t="s">
        <v>127</v>
      </c>
      <c r="M316" t="s">
        <v>872</v>
      </c>
      <c r="N316" t="s">
        <v>92</v>
      </c>
      <c r="O316">
        <f>INDEX(PlasticsDataCompilation!$D$20:$D$36,MATCH(dataforsankey!$P316,PlasticsDataCompilation!$A$20:$A$36,0),1)*INDEX(PlasticsUse!$B$27:$L$43,MATCH(dataforsankey!$P316,PlasticsUse!$A$27:$A$43,0),MATCH($N316,PlasticsUse!$B$26:$L$26,0))</f>
        <v>0</v>
      </c>
      <c r="P316" t="s">
        <v>2</v>
      </c>
      <c r="S316" t="s">
        <v>103</v>
      </c>
      <c r="T316" t="s">
        <v>330</v>
      </c>
      <c r="U316" s="11">
        <f t="shared" si="29"/>
        <v>0</v>
      </c>
      <c r="V316" t="s">
        <v>122</v>
      </c>
      <c r="Y316" s="177" t="s">
        <v>103</v>
      </c>
      <c r="Z316" s="177" t="s">
        <v>330</v>
      </c>
      <c r="AA316" s="178">
        <f>INDEX('In-Use Stocks'!$M$81:$V$97,MATCH(dataforsankey!$AB316,'In-Use Stocks'!$L$81:$L$97,0),MATCH(dataforsankey!$Y316,'In-Use Stocks'!$M$80:$V$80,0))</f>
        <v>0</v>
      </c>
      <c r="AB316" s="177" t="s">
        <v>122</v>
      </c>
      <c r="AE316" s="177" t="s">
        <v>103</v>
      </c>
      <c r="AF316" s="177" t="s">
        <v>330</v>
      </c>
      <c r="AG316" s="178">
        <f>INDEX('In-Use Stocks'!$M$81:$V$97,MATCH(dataforsankey!$AB316,'In-Use Stocks'!$L$81:$L$97,0),MATCH(dataforsankey!$Y316,'In-Use Stocks'!$M$80:$V$80,0))</f>
        <v>0</v>
      </c>
      <c r="AH316" s="177" t="s">
        <v>122</v>
      </c>
    </row>
    <row r="317" spans="7:34" x14ac:dyDescent="0.2">
      <c r="G317" t="s">
        <v>100</v>
      </c>
      <c r="H317" t="s">
        <v>4</v>
      </c>
      <c r="I317">
        <f>SUMIFS('CompilationCalcs - EPA EOL'!$G$4:$G$264,'CompilationCalcs - EPA EOL'!$F$4:$F$264,dataforsankey!$H317,'CompilationCalcs - EPA EOL'!$A$4:$A$264,dataforsankey!$J317,'CompilationCalcs - EPA EOL'!$B$4:$B$264,dataforsankey!$G317)</f>
        <v>0</v>
      </c>
      <c r="J317" t="s">
        <v>122</v>
      </c>
      <c r="M317" t="s">
        <v>872</v>
      </c>
      <c r="N317" t="s">
        <v>103</v>
      </c>
      <c r="O317">
        <f>INDEX(PlasticsDataCompilation!$D$20:$D$36,MATCH(dataforsankey!$P317,PlasticsDataCompilation!$A$20:$A$36,0),1)*INDEX(PlasticsUse!$B$27:$L$43,MATCH(dataforsankey!$P317,PlasticsUse!$A$27:$A$43,0),MATCH($N317,PlasticsUse!$B$26:$L$26,0))</f>
        <v>0</v>
      </c>
      <c r="P317" t="s">
        <v>2</v>
      </c>
      <c r="S317" t="s">
        <v>86</v>
      </c>
      <c r="T317" t="s">
        <v>330</v>
      </c>
      <c r="U317" s="11">
        <f t="shared" si="29"/>
        <v>0.5906203232650975</v>
      </c>
      <c r="V317" t="s">
        <v>122</v>
      </c>
      <c r="Y317" s="177" t="s">
        <v>86</v>
      </c>
      <c r="Z317" s="177" t="s">
        <v>330</v>
      </c>
      <c r="AA317" s="178">
        <f>INDEX('In-Use Stocks'!$M$81:$V$97,MATCH(dataforsankey!$AB317,'In-Use Stocks'!$L$81:$L$97,0),MATCH(dataforsankey!$Y317,'In-Use Stocks'!$M$80:$V$80,0))</f>
        <v>0.5906203232650975</v>
      </c>
      <c r="AB317" s="177" t="s">
        <v>122</v>
      </c>
      <c r="AE317" s="177" t="s">
        <v>86</v>
      </c>
      <c r="AF317" s="177" t="s">
        <v>330</v>
      </c>
      <c r="AG317" s="178">
        <f>INDEX('In-Use Stocks'!$M$81:$V$97,MATCH(dataforsankey!$AB317,'In-Use Stocks'!$L$81:$L$97,0),MATCH(dataforsankey!$Y317,'In-Use Stocks'!$M$80:$V$80,0))</f>
        <v>0.5906203232650975</v>
      </c>
      <c r="AH317" s="177" t="s">
        <v>122</v>
      </c>
    </row>
    <row r="318" spans="7:34" x14ac:dyDescent="0.2">
      <c r="G318" t="s">
        <v>100</v>
      </c>
      <c r="H318" t="s">
        <v>4</v>
      </c>
      <c r="I318">
        <f>SUMIFS('CompilationCalcs - EPA EOL'!$G$4:$G$264,'CompilationCalcs - EPA EOL'!$F$4:$F$264,dataforsankey!$H318,'CompilationCalcs - EPA EOL'!$A$4:$A$264,dataforsankey!$J318,'CompilationCalcs - EPA EOL'!$B$4:$B$264,dataforsankey!$G318)</f>
        <v>9.1733869301549878E-2</v>
      </c>
      <c r="J318" t="s">
        <v>82</v>
      </c>
      <c r="M318" t="s">
        <v>872</v>
      </c>
      <c r="N318" t="s">
        <v>86</v>
      </c>
      <c r="O318">
        <f>INDEX(PlasticsDataCompilation!$D$20:$D$36,MATCH(dataforsankey!$P318,PlasticsDataCompilation!$A$20:$A$36,0),1)*INDEX(PlasticsUse!$B$27:$L$43,MATCH(dataforsankey!$P318,PlasticsUse!$A$27:$A$43,0),MATCH($N318,PlasticsUse!$B$26:$L$26,0))</f>
        <v>0.11624820951142711</v>
      </c>
      <c r="P318" t="s">
        <v>2</v>
      </c>
      <c r="S318" t="s">
        <v>38</v>
      </c>
      <c r="T318" t="s">
        <v>330</v>
      </c>
      <c r="U318" s="11">
        <f t="shared" si="29"/>
        <v>0.31058137849398898</v>
      </c>
      <c r="V318" t="s">
        <v>32</v>
      </c>
      <c r="Y318" s="177" t="s">
        <v>38</v>
      </c>
      <c r="Z318" s="177" t="s">
        <v>330</v>
      </c>
      <c r="AA318" s="178">
        <f>INDEX('In-Use Stocks'!$M$81:$V$97,MATCH(dataforsankey!$AB318,'In-Use Stocks'!$L$81:$L$97,0),MATCH(dataforsankey!$Y318,'In-Use Stocks'!$M$80:$V$80,0))</f>
        <v>0.31058137849398898</v>
      </c>
      <c r="AB318" s="177" t="s">
        <v>32</v>
      </c>
      <c r="AE318" s="177" t="s">
        <v>38</v>
      </c>
      <c r="AF318" s="177" t="s">
        <v>330</v>
      </c>
      <c r="AG318" s="178">
        <f>INDEX('In-Use Stocks'!$M$81:$V$97,MATCH(dataforsankey!$AB318,'In-Use Stocks'!$L$81:$L$97,0),MATCH(dataforsankey!$Y318,'In-Use Stocks'!$M$80:$V$80,0))</f>
        <v>0.31058137849398898</v>
      </c>
      <c r="AH318" s="177" t="s">
        <v>32</v>
      </c>
    </row>
    <row r="319" spans="7:34" x14ac:dyDescent="0.2">
      <c r="G319" t="s">
        <v>100</v>
      </c>
      <c r="H319" t="s">
        <v>5</v>
      </c>
      <c r="I319">
        <f>SUMIFS('CompilationCalcs - EPA EOL'!$G$4:$G$264,'CompilationCalcs - EPA EOL'!$F$4:$F$264,dataforsankey!$H319,'CompilationCalcs - EPA EOL'!$A$4:$A$264,dataforsankey!$J319,'CompilationCalcs - EPA EOL'!$B$4:$B$264,dataforsankey!$G319)</f>
        <v>0</v>
      </c>
      <c r="J319" t="s">
        <v>0</v>
      </c>
      <c r="M319" t="s">
        <v>872</v>
      </c>
      <c r="N319" t="s">
        <v>18</v>
      </c>
      <c r="O319">
        <f>INDEX(PlasticsDataCompilation!$D$20:$D$36,MATCH(dataforsankey!$P319,PlasticsDataCompilation!$A$20:$A$36,0),1)*INDEX(PlasticsUse!$B$27:$L$43,MATCH(dataforsankey!$P319,PlasticsUse!$A$27:$A$43,0),MATCH($N319,PlasticsUse!$B$26:$L$26,0))</f>
        <v>0</v>
      </c>
      <c r="P319" t="s">
        <v>2</v>
      </c>
      <c r="S319" t="s">
        <v>99</v>
      </c>
      <c r="T319" t="s">
        <v>330</v>
      </c>
      <c r="U319" s="11">
        <f t="shared" si="29"/>
        <v>0</v>
      </c>
      <c r="V319" t="s">
        <v>32</v>
      </c>
      <c r="Y319" s="177" t="s">
        <v>99</v>
      </c>
      <c r="Z319" s="177" t="s">
        <v>330</v>
      </c>
      <c r="AA319" s="178">
        <f>INDEX('In-Use Stocks'!$M$81:$V$97,MATCH(dataforsankey!$AB319,'In-Use Stocks'!$L$81:$L$97,0),MATCH(dataforsankey!$Y319,'In-Use Stocks'!$M$80:$V$80,0))</f>
        <v>0</v>
      </c>
      <c r="AB319" s="177" t="s">
        <v>32</v>
      </c>
      <c r="AE319" s="177" t="s">
        <v>99</v>
      </c>
      <c r="AF319" s="177" t="s">
        <v>330</v>
      </c>
      <c r="AG319" s="178">
        <f>INDEX('In-Use Stocks'!$M$81:$V$97,MATCH(dataforsankey!$AB319,'In-Use Stocks'!$L$81:$L$97,0),MATCH(dataforsankey!$Y319,'In-Use Stocks'!$M$80:$V$80,0))</f>
        <v>0</v>
      </c>
      <c r="AH319" s="177" t="s">
        <v>32</v>
      </c>
    </row>
    <row r="320" spans="7:34" x14ac:dyDescent="0.2">
      <c r="G320" t="s">
        <v>100</v>
      </c>
      <c r="H320" t="s">
        <v>5</v>
      </c>
      <c r="I320">
        <f>SUMIFS('CompilationCalcs - EPA EOL'!$G$4:$G$264,'CompilationCalcs - EPA EOL'!$F$4:$F$264,dataforsankey!$H320,'CompilationCalcs - EPA EOL'!$A$4:$A$264,dataforsankey!$J320,'CompilationCalcs - EPA EOL'!$B$4:$B$264,dataforsankey!$G320)</f>
        <v>0</v>
      </c>
      <c r="J320" t="s">
        <v>2</v>
      </c>
      <c r="M320" t="s">
        <v>872</v>
      </c>
      <c r="N320" t="s">
        <v>38</v>
      </c>
      <c r="O320">
        <f>INDEX(PlasticsDataCompilation!$D$20:$D$36,MATCH(dataforsankey!$P320,PlasticsDataCompilation!$A$20:$A$36,0),1)*INDEX(PlasticsUse!$B$27:$L$43,MATCH(dataforsankey!$P320,PlasticsUse!$A$27:$A$43,0),MATCH($N320,PlasticsUse!$B$26:$L$26,0))</f>
        <v>0</v>
      </c>
      <c r="P320" t="s">
        <v>30</v>
      </c>
      <c r="S320" t="s">
        <v>69</v>
      </c>
      <c r="T320" t="s">
        <v>335</v>
      </c>
      <c r="U320" s="11">
        <f t="shared" si="29"/>
        <v>0.81944083760395414</v>
      </c>
      <c r="V320" t="s">
        <v>32</v>
      </c>
      <c r="Y320" t="s">
        <v>69</v>
      </c>
      <c r="Z320" t="s">
        <v>335</v>
      </c>
      <c r="AA320" s="11">
        <f>SUMIFS($O$23:$O$953,$M$23:$M$953,Y320,$N$23:$N$953,Z320,$P$23:$P$953,AB320)</f>
        <v>0.81944083760395414</v>
      </c>
      <c r="AB320" t="s">
        <v>32</v>
      </c>
      <c r="AE320" t="s">
        <v>69</v>
      </c>
      <c r="AF320" t="s">
        <v>335</v>
      </c>
      <c r="AG320" s="11">
        <f>SUMIFS($O$23:$O$953,$M$23:$M$953,AE320,$N$23:$N$953,AF320,$P$23:$P$953,AH320)</f>
        <v>0.81944083760395414</v>
      </c>
      <c r="AH320" t="s">
        <v>32</v>
      </c>
    </row>
    <row r="321" spans="7:34" x14ac:dyDescent="0.2">
      <c r="G321" t="s">
        <v>100</v>
      </c>
      <c r="H321" t="s">
        <v>5</v>
      </c>
      <c r="I321">
        <f>SUMIFS('CompilationCalcs - EPA EOL'!$G$4:$G$264,'CompilationCalcs - EPA EOL'!$F$4:$F$264,dataforsankey!$H321,'CompilationCalcs - EPA EOL'!$A$4:$A$264,dataforsankey!$J321,'CompilationCalcs - EPA EOL'!$B$4:$B$264,dataforsankey!$G321)</f>
        <v>8.2643125496891789E-3</v>
      </c>
      <c r="J321" t="s">
        <v>1</v>
      </c>
      <c r="M321" t="s">
        <v>872</v>
      </c>
      <c r="N321" t="s">
        <v>99</v>
      </c>
      <c r="O321">
        <f>INDEX(PlasticsDataCompilation!$D$20:$D$36,MATCH(dataforsankey!$P321,PlasticsDataCompilation!$A$20:$A$36,0),1)*INDEX(PlasticsUse!$B$27:$L$43,MATCH(dataforsankey!$P321,PlasticsUse!$A$27:$A$43,0),MATCH($N321,PlasticsUse!$B$26:$L$26,0))</f>
        <v>0</v>
      </c>
      <c r="P321" t="s">
        <v>30</v>
      </c>
      <c r="S321" t="s">
        <v>100</v>
      </c>
      <c r="T321" t="s">
        <v>330</v>
      </c>
      <c r="U321" s="11">
        <f t="shared" si="29"/>
        <v>0</v>
      </c>
      <c r="V321" t="s">
        <v>32</v>
      </c>
      <c r="Y321" s="177" t="s">
        <v>100</v>
      </c>
      <c r="Z321" s="177" t="s">
        <v>330</v>
      </c>
      <c r="AA321" s="178">
        <f>INDEX('In-Use Stocks'!$M$81:$V$97,MATCH(dataforsankey!$AB321,'In-Use Stocks'!$L$81:$L$97,0),MATCH(dataforsankey!$Y321,'In-Use Stocks'!$M$80:$V$80,0))</f>
        <v>0</v>
      </c>
      <c r="AB321" s="177" t="s">
        <v>32</v>
      </c>
      <c r="AE321" s="177" t="s">
        <v>100</v>
      </c>
      <c r="AF321" s="177" t="s">
        <v>330</v>
      </c>
      <c r="AG321" s="178">
        <f>INDEX('In-Use Stocks'!$M$81:$V$97,MATCH(dataforsankey!$AB321,'In-Use Stocks'!$L$81:$L$97,0),MATCH(dataforsankey!$Y321,'In-Use Stocks'!$M$80:$V$80,0))</f>
        <v>0</v>
      </c>
      <c r="AH321" s="177" t="s">
        <v>32</v>
      </c>
    </row>
    <row r="322" spans="7:34" x14ac:dyDescent="0.2">
      <c r="G322" t="s">
        <v>100</v>
      </c>
      <c r="H322" t="s">
        <v>5</v>
      </c>
      <c r="I322">
        <f>SUMIFS('CompilationCalcs - EPA EOL'!$G$4:$G$264,'CompilationCalcs - EPA EOL'!$F$4:$F$264,dataforsankey!$H322,'CompilationCalcs - EPA EOL'!$A$4:$A$264,dataforsankey!$J322,'CompilationCalcs - EPA EOL'!$B$4:$B$264,dataforsankey!$G322)</f>
        <v>0</v>
      </c>
      <c r="J322" t="s">
        <v>7</v>
      </c>
      <c r="M322" t="s">
        <v>872</v>
      </c>
      <c r="N322" t="s">
        <v>69</v>
      </c>
      <c r="O322">
        <f>INDEX(PlasticsDataCompilation!$D$20:$D$36,MATCH(dataforsankey!$P322,PlasticsDataCompilation!$A$20:$A$36,0),1)*INDEX(PlasticsUse!$B$27:$L$43,MATCH(dataforsankey!$P322,PlasticsUse!$A$27:$A$43,0),MATCH($N322,PlasticsUse!$B$26:$L$26,0))</f>
        <v>0</v>
      </c>
      <c r="P322" t="s">
        <v>30</v>
      </c>
      <c r="S322" t="s">
        <v>39</v>
      </c>
      <c r="T322" t="s">
        <v>330</v>
      </c>
      <c r="U322" s="11">
        <f t="shared" si="29"/>
        <v>0.24026685338115103</v>
      </c>
      <c r="V322" t="s">
        <v>32</v>
      </c>
      <c r="Y322" s="177" t="s">
        <v>39</v>
      </c>
      <c r="Z322" s="177" t="s">
        <v>330</v>
      </c>
      <c r="AA322" s="178">
        <f>INDEX('In-Use Stocks'!$M$81:$V$97,MATCH(dataforsankey!$AB322,'In-Use Stocks'!$L$81:$L$97,0),MATCH(dataforsankey!$Y322,'In-Use Stocks'!$M$80:$V$80,0))</f>
        <v>0.24026685338115103</v>
      </c>
      <c r="AB322" s="177" t="s">
        <v>32</v>
      </c>
      <c r="AE322" s="177" t="s">
        <v>39</v>
      </c>
      <c r="AF322" s="177" t="s">
        <v>330</v>
      </c>
      <c r="AG322" s="178">
        <f>INDEX('In-Use Stocks'!$M$81:$V$97,MATCH(dataforsankey!$AB322,'In-Use Stocks'!$L$81:$L$97,0),MATCH(dataforsankey!$Y322,'In-Use Stocks'!$M$80:$V$80,0))</f>
        <v>0.24026685338115103</v>
      </c>
      <c r="AH322" s="177" t="s">
        <v>32</v>
      </c>
    </row>
    <row r="323" spans="7:34" x14ac:dyDescent="0.2">
      <c r="G323" t="s">
        <v>100</v>
      </c>
      <c r="H323" t="s">
        <v>5</v>
      </c>
      <c r="I323">
        <f>SUMIFS('CompilationCalcs - EPA EOL'!$G$4:$G$264,'CompilationCalcs - EPA EOL'!$F$4:$F$264,dataforsankey!$H323,'CompilationCalcs - EPA EOL'!$A$4:$A$264,dataforsankey!$J323,'CompilationCalcs - EPA EOL'!$B$4:$B$264,dataforsankey!$G323)</f>
        <v>0</v>
      </c>
      <c r="J323" t="s">
        <v>8</v>
      </c>
      <c r="M323" t="s">
        <v>872</v>
      </c>
      <c r="N323" t="s">
        <v>100</v>
      </c>
      <c r="O323">
        <f>INDEX(PlasticsDataCompilation!$D$20:$D$36,MATCH(dataforsankey!$P323,PlasticsDataCompilation!$A$20:$A$36,0),1)*INDEX(PlasticsUse!$B$27:$L$43,MATCH(dataforsankey!$P323,PlasticsUse!$A$27:$A$43,0),MATCH($N323,PlasticsUse!$B$26:$L$26,0))</f>
        <v>0</v>
      </c>
      <c r="P323" t="s">
        <v>30</v>
      </c>
      <c r="S323" t="s">
        <v>68</v>
      </c>
      <c r="T323" t="s">
        <v>330</v>
      </c>
      <c r="U323" s="11">
        <f t="shared" si="29"/>
        <v>1.0673341590444818</v>
      </c>
      <c r="V323" t="s">
        <v>32</v>
      </c>
      <c r="Y323" s="177" t="s">
        <v>68</v>
      </c>
      <c r="Z323" s="177" t="s">
        <v>330</v>
      </c>
      <c r="AA323" s="178">
        <f>INDEX('In-Use Stocks'!$M$81:$V$97,MATCH(dataforsankey!$AB323,'In-Use Stocks'!$L$81:$L$97,0),MATCH(dataforsankey!$Y323,'In-Use Stocks'!$M$80:$V$80,0))</f>
        <v>1.0673341590444818</v>
      </c>
      <c r="AB323" s="177" t="s">
        <v>32</v>
      </c>
      <c r="AE323" s="177" t="s">
        <v>68</v>
      </c>
      <c r="AF323" s="177" t="s">
        <v>330</v>
      </c>
      <c r="AG323" s="178">
        <f>INDEX('In-Use Stocks'!$M$81:$V$97,MATCH(dataforsankey!$AB323,'In-Use Stocks'!$L$81:$L$97,0),MATCH(dataforsankey!$Y323,'In-Use Stocks'!$M$80:$V$80,0))</f>
        <v>1.0673341590444818</v>
      </c>
      <c r="AH323" s="177" t="s">
        <v>32</v>
      </c>
    </row>
    <row r="324" spans="7:34" x14ac:dyDescent="0.2">
      <c r="G324" t="s">
        <v>100</v>
      </c>
      <c r="H324" t="s">
        <v>5</v>
      </c>
      <c r="I324">
        <f>SUMIFS('CompilationCalcs - EPA EOL'!$G$4:$G$264,'CompilationCalcs - EPA EOL'!$F$4:$F$264,dataforsankey!$H324,'CompilationCalcs - EPA EOL'!$A$4:$A$264,dataforsankey!$J324,'CompilationCalcs - EPA EOL'!$B$4:$B$264,dataforsankey!$G324)</f>
        <v>0</v>
      </c>
      <c r="J324" t="s">
        <v>9</v>
      </c>
      <c r="M324" t="s">
        <v>872</v>
      </c>
      <c r="N324" t="s">
        <v>39</v>
      </c>
      <c r="O324">
        <f>INDEX(PlasticsDataCompilation!$D$20:$D$36,MATCH(dataforsankey!$P324,PlasticsDataCompilation!$A$20:$A$36,0),1)*INDEX(PlasticsUse!$B$27:$L$43,MATCH(dataforsankey!$P324,PlasticsUse!$A$27:$A$43,0),MATCH($N324,PlasticsUse!$B$26:$L$26,0))</f>
        <v>0</v>
      </c>
      <c r="P324" t="s">
        <v>30</v>
      </c>
      <c r="S324" t="s">
        <v>63</v>
      </c>
      <c r="T324" t="s">
        <v>330</v>
      </c>
      <c r="U324" s="11">
        <f t="shared" si="29"/>
        <v>0.19533993537078584</v>
      </c>
      <c r="V324" t="s">
        <v>32</v>
      </c>
      <c r="Y324" s="177" t="s">
        <v>63</v>
      </c>
      <c r="Z324" s="177" t="s">
        <v>330</v>
      </c>
      <c r="AA324" s="178">
        <f>INDEX('In-Use Stocks'!$M$81:$V$97,MATCH(dataforsankey!$AB324,'In-Use Stocks'!$L$81:$L$97,0),MATCH(dataforsankey!$Y324,'In-Use Stocks'!$M$80:$V$80,0))</f>
        <v>0.19533993537078584</v>
      </c>
      <c r="AB324" s="177" t="s">
        <v>32</v>
      </c>
      <c r="AE324" s="177" t="s">
        <v>63</v>
      </c>
      <c r="AF324" s="177" t="s">
        <v>330</v>
      </c>
      <c r="AG324" s="178">
        <f>INDEX('In-Use Stocks'!$M$81:$V$97,MATCH(dataforsankey!$AB324,'In-Use Stocks'!$L$81:$L$97,0),MATCH(dataforsankey!$Y324,'In-Use Stocks'!$M$80:$V$80,0))</f>
        <v>0.19533993537078584</v>
      </c>
      <c r="AH324" s="177" t="s">
        <v>32</v>
      </c>
    </row>
    <row r="325" spans="7:34" x14ac:dyDescent="0.2">
      <c r="G325" t="s">
        <v>100</v>
      </c>
      <c r="H325" t="s">
        <v>5</v>
      </c>
      <c r="I325">
        <f>SUMIFS('CompilationCalcs - EPA EOL'!$G$4:$G$264,'CompilationCalcs - EPA EOL'!$F$4:$F$264,dataforsankey!$H325,'CompilationCalcs - EPA EOL'!$A$4:$A$264,dataforsankey!$J325,'CompilationCalcs - EPA EOL'!$B$4:$B$264,dataforsankey!$G325)</f>
        <v>0</v>
      </c>
      <c r="J325" t="s">
        <v>10</v>
      </c>
      <c r="M325" t="s">
        <v>872</v>
      </c>
      <c r="N325" t="s">
        <v>68</v>
      </c>
      <c r="O325">
        <f>INDEX(PlasticsDataCompilation!$D$20:$D$36,MATCH(dataforsankey!$P325,PlasticsDataCompilation!$A$20:$A$36,0),1)*INDEX(PlasticsUse!$B$27:$L$43,MATCH(dataforsankey!$P325,PlasticsUse!$A$27:$A$43,0),MATCH($N325,PlasticsUse!$B$26:$L$26,0))</f>
        <v>0</v>
      </c>
      <c r="P325" t="s">
        <v>30</v>
      </c>
      <c r="S325" t="s">
        <v>92</v>
      </c>
      <c r="T325" t="s">
        <v>330</v>
      </c>
      <c r="U325" s="11">
        <f t="shared" si="29"/>
        <v>0</v>
      </c>
      <c r="V325" t="s">
        <v>32</v>
      </c>
      <c r="Y325" s="177" t="s">
        <v>92</v>
      </c>
      <c r="Z325" s="177" t="s">
        <v>330</v>
      </c>
      <c r="AA325" s="178">
        <f>INDEX('In-Use Stocks'!$M$81:$V$97,MATCH(dataforsankey!$AB325,'In-Use Stocks'!$L$81:$L$97,0),MATCH(dataforsankey!$Y325,'In-Use Stocks'!$M$80:$V$80,0))</f>
        <v>0</v>
      </c>
      <c r="AB325" s="177" t="s">
        <v>32</v>
      </c>
      <c r="AE325" s="177" t="s">
        <v>92</v>
      </c>
      <c r="AF325" s="177" t="s">
        <v>330</v>
      </c>
      <c r="AG325" s="178">
        <f>INDEX('In-Use Stocks'!$M$81:$V$97,MATCH(dataforsankey!$AB325,'In-Use Stocks'!$L$81:$L$97,0),MATCH(dataforsankey!$Y325,'In-Use Stocks'!$M$80:$V$80,0))</f>
        <v>0</v>
      </c>
      <c r="AH325" s="177" t="s">
        <v>32</v>
      </c>
    </row>
    <row r="326" spans="7:34" x14ac:dyDescent="0.2">
      <c r="G326" t="s">
        <v>100</v>
      </c>
      <c r="H326" t="s">
        <v>5</v>
      </c>
      <c r="I326">
        <f>SUMIFS('CompilationCalcs - EPA EOL'!$G$4:$G$264,'CompilationCalcs - EPA EOL'!$F$4:$F$264,dataforsankey!$H326,'CompilationCalcs - EPA EOL'!$A$4:$A$264,dataforsankey!$J326,'CompilationCalcs - EPA EOL'!$B$4:$B$264,dataforsankey!$G326)</f>
        <v>0</v>
      </c>
      <c r="J326" t="s">
        <v>11</v>
      </c>
      <c r="M326" t="s">
        <v>872</v>
      </c>
      <c r="N326" t="s">
        <v>63</v>
      </c>
      <c r="O326">
        <f>INDEX(PlasticsDataCompilation!$D$20:$D$36,MATCH(dataforsankey!$P326,PlasticsDataCompilation!$A$20:$A$36,0),1)*INDEX(PlasticsUse!$B$27:$L$43,MATCH(dataforsankey!$P326,PlasticsUse!$A$27:$A$43,0),MATCH($N326,PlasticsUse!$B$26:$L$26,0))</f>
        <v>0</v>
      </c>
      <c r="P326" t="s">
        <v>30</v>
      </c>
      <c r="S326" t="s">
        <v>103</v>
      </c>
      <c r="T326" t="s">
        <v>330</v>
      </c>
      <c r="U326" s="11">
        <f t="shared" si="29"/>
        <v>0</v>
      </c>
      <c r="V326" t="s">
        <v>32</v>
      </c>
      <c r="Y326" s="177" t="s">
        <v>103</v>
      </c>
      <c r="Z326" s="177" t="s">
        <v>330</v>
      </c>
      <c r="AA326" s="178">
        <f>INDEX('In-Use Stocks'!$M$81:$V$97,MATCH(dataforsankey!$AB326,'In-Use Stocks'!$L$81:$L$97,0),MATCH(dataforsankey!$Y326,'In-Use Stocks'!$M$80:$V$80,0))</f>
        <v>0</v>
      </c>
      <c r="AB326" s="177" t="s">
        <v>32</v>
      </c>
      <c r="AE326" s="177" t="s">
        <v>103</v>
      </c>
      <c r="AF326" s="177" t="s">
        <v>330</v>
      </c>
      <c r="AG326" s="178">
        <f>INDEX('In-Use Stocks'!$M$81:$V$97,MATCH(dataforsankey!$AB326,'In-Use Stocks'!$L$81:$L$97,0),MATCH(dataforsankey!$Y326,'In-Use Stocks'!$M$80:$V$80,0))</f>
        <v>0</v>
      </c>
      <c r="AH326" s="177" t="s">
        <v>32</v>
      </c>
    </row>
    <row r="327" spans="7:34" x14ac:dyDescent="0.2">
      <c r="G327" t="s">
        <v>100</v>
      </c>
      <c r="H327" t="s">
        <v>5</v>
      </c>
      <c r="I327">
        <f>SUMIFS('CompilationCalcs - EPA EOL'!$G$4:$G$264,'CompilationCalcs - EPA EOL'!$F$4:$F$264,dataforsankey!$H327,'CompilationCalcs - EPA EOL'!$A$4:$A$264,dataforsankey!$J327,'CompilationCalcs - EPA EOL'!$B$4:$B$264,dataforsankey!$G327)</f>
        <v>0</v>
      </c>
      <c r="J327" t="s">
        <v>127</v>
      </c>
      <c r="M327" t="s">
        <v>872</v>
      </c>
      <c r="N327" t="s">
        <v>92</v>
      </c>
      <c r="O327">
        <f>INDEX(PlasticsDataCompilation!$D$20:$D$36,MATCH(dataforsankey!$P327,PlasticsDataCompilation!$A$20:$A$36,0),1)*INDEX(PlasticsUse!$B$27:$L$43,MATCH(dataforsankey!$P327,PlasticsUse!$A$27:$A$43,0),MATCH($N327,PlasticsUse!$B$26:$L$26,0))</f>
        <v>0</v>
      </c>
      <c r="P327" t="s">
        <v>30</v>
      </c>
      <c r="S327" t="s">
        <v>86</v>
      </c>
      <c r="T327" t="s">
        <v>330</v>
      </c>
      <c r="U327" s="11">
        <f t="shared" si="29"/>
        <v>0.8450404917983797</v>
      </c>
      <c r="V327" t="s">
        <v>32</v>
      </c>
      <c r="Y327" s="177" t="s">
        <v>86</v>
      </c>
      <c r="Z327" s="177" t="s">
        <v>330</v>
      </c>
      <c r="AA327" s="178">
        <f>INDEX('In-Use Stocks'!$M$81:$V$97,MATCH(dataforsankey!$AB327,'In-Use Stocks'!$L$81:$L$97,0),MATCH(dataforsankey!$Y327,'In-Use Stocks'!$M$80:$V$80,0))</f>
        <v>0.8450404917983797</v>
      </c>
      <c r="AB327" s="177" t="s">
        <v>32</v>
      </c>
      <c r="AE327" s="177" t="s">
        <v>86</v>
      </c>
      <c r="AF327" s="177" t="s">
        <v>330</v>
      </c>
      <c r="AG327" s="178">
        <f>INDEX('In-Use Stocks'!$M$81:$V$97,MATCH(dataforsankey!$AB327,'In-Use Stocks'!$L$81:$L$97,0),MATCH(dataforsankey!$Y327,'In-Use Stocks'!$M$80:$V$80,0))</f>
        <v>0.8450404917983797</v>
      </c>
      <c r="AH327" s="177" t="s">
        <v>32</v>
      </c>
    </row>
    <row r="328" spans="7:34" x14ac:dyDescent="0.2">
      <c r="G328" t="s">
        <v>100</v>
      </c>
      <c r="H328" t="s">
        <v>5</v>
      </c>
      <c r="I328">
        <f>SUMIFS('CompilationCalcs - EPA EOL'!$G$4:$G$264,'CompilationCalcs - EPA EOL'!$F$4:$F$264,dataforsankey!$H328,'CompilationCalcs - EPA EOL'!$A$4:$A$264,dataforsankey!$J328,'CompilationCalcs - EPA EOL'!$B$4:$B$264,dataforsankey!$G328)</f>
        <v>0</v>
      </c>
      <c r="J328" t="s">
        <v>122</v>
      </c>
      <c r="M328" t="s">
        <v>872</v>
      </c>
      <c r="N328" t="s">
        <v>103</v>
      </c>
      <c r="O328">
        <f>INDEX(PlasticsDataCompilation!$D$20:$D$36,MATCH(dataforsankey!$P328,PlasticsDataCompilation!$A$20:$A$36,0),1)*INDEX(PlasticsUse!$B$27:$L$43,MATCH(dataforsankey!$P328,PlasticsUse!$A$27:$A$43,0),MATCH($N328,PlasticsUse!$B$26:$L$26,0))</f>
        <v>0</v>
      </c>
      <c r="P328" t="s">
        <v>30</v>
      </c>
      <c r="S328" t="s">
        <v>38</v>
      </c>
      <c r="T328" t="s">
        <v>330</v>
      </c>
      <c r="U328" s="11">
        <f t="shared" si="29"/>
        <v>0</v>
      </c>
      <c r="V328" t="s">
        <v>105</v>
      </c>
      <c r="Y328" s="177" t="s">
        <v>38</v>
      </c>
      <c r="Z328" s="177" t="s">
        <v>330</v>
      </c>
      <c r="AA328" s="178">
        <f>INDEX('In-Use Stocks'!$M$81:$V$97,MATCH(dataforsankey!$AB328,'In-Use Stocks'!$L$81:$L$97,0),MATCH(dataforsankey!$Y328,'In-Use Stocks'!$M$80:$V$80,0))</f>
        <v>0</v>
      </c>
      <c r="AB328" s="177" t="s">
        <v>105</v>
      </c>
      <c r="AE328" s="177" t="s">
        <v>38</v>
      </c>
      <c r="AF328" s="177" t="s">
        <v>330</v>
      </c>
      <c r="AG328" s="178">
        <f>INDEX('In-Use Stocks'!$M$81:$V$97,MATCH(dataforsankey!$AB328,'In-Use Stocks'!$L$81:$L$97,0),MATCH(dataforsankey!$Y328,'In-Use Stocks'!$M$80:$V$80,0))</f>
        <v>0</v>
      </c>
      <c r="AH328" s="177" t="s">
        <v>105</v>
      </c>
    </row>
    <row r="329" spans="7:34" x14ac:dyDescent="0.2">
      <c r="G329" t="s">
        <v>100</v>
      </c>
      <c r="H329" t="s">
        <v>5</v>
      </c>
      <c r="I329">
        <f>SUMIFS('CompilationCalcs - EPA EOL'!$G$4:$G$264,'CompilationCalcs - EPA EOL'!$F$4:$F$264,dataforsankey!$H329,'CompilationCalcs - EPA EOL'!$A$4:$A$264,dataforsankey!$J329,'CompilationCalcs - EPA EOL'!$B$4:$B$264,dataforsankey!$G329)</f>
        <v>0</v>
      </c>
      <c r="J329" t="s">
        <v>82</v>
      </c>
      <c r="M329" t="s">
        <v>872</v>
      </c>
      <c r="N329" t="s">
        <v>86</v>
      </c>
      <c r="O329">
        <f>INDEX(PlasticsDataCompilation!$D$20:$D$36,MATCH(dataforsankey!$P329,PlasticsDataCompilation!$A$20:$A$36,0),1)*INDEX(PlasticsUse!$B$27:$L$43,MATCH(dataforsankey!$P329,PlasticsUse!$A$27:$A$43,0),MATCH($N329,PlasticsUse!$B$26:$L$26,0))</f>
        <v>0</v>
      </c>
      <c r="P329" t="s">
        <v>30</v>
      </c>
      <c r="S329" t="s">
        <v>99</v>
      </c>
      <c r="T329" t="s">
        <v>330</v>
      </c>
      <c r="U329" s="11">
        <f t="shared" si="29"/>
        <v>0</v>
      </c>
      <c r="V329" t="s">
        <v>105</v>
      </c>
      <c r="Y329" s="177" t="s">
        <v>99</v>
      </c>
      <c r="Z329" s="177" t="s">
        <v>330</v>
      </c>
      <c r="AA329" s="178">
        <f>INDEX('In-Use Stocks'!$M$81:$V$97,MATCH(dataforsankey!$AB329,'In-Use Stocks'!$L$81:$L$97,0),MATCH(dataforsankey!$Y329,'In-Use Stocks'!$M$80:$V$80,0))</f>
        <v>0</v>
      </c>
      <c r="AB329" s="177" t="s">
        <v>105</v>
      </c>
      <c r="AE329" s="177" t="s">
        <v>99</v>
      </c>
      <c r="AF329" s="177" t="s">
        <v>330</v>
      </c>
      <c r="AG329" s="178">
        <f>INDEX('In-Use Stocks'!$M$81:$V$97,MATCH(dataforsankey!$AB329,'In-Use Stocks'!$L$81:$L$97,0),MATCH(dataforsankey!$Y329,'In-Use Stocks'!$M$80:$V$80,0))</f>
        <v>0</v>
      </c>
      <c r="AH329" s="177" t="s">
        <v>105</v>
      </c>
    </row>
    <row r="330" spans="7:34" x14ac:dyDescent="0.2">
      <c r="G330" t="s">
        <v>100</v>
      </c>
      <c r="H330" t="s">
        <v>6</v>
      </c>
      <c r="I330">
        <f>SUMIFS('CompilationCalcs - EPA EOL'!$G$4:$G$264,'CompilationCalcs - EPA EOL'!$F$4:$F$264,dataforsankey!$H330,'CompilationCalcs - EPA EOL'!$A$4:$A$264,dataforsankey!$J330,'CompilationCalcs - EPA EOL'!$B$4:$B$264,dataforsankey!$G330)</f>
        <v>0</v>
      </c>
      <c r="J330" t="s">
        <v>0</v>
      </c>
      <c r="M330" t="s">
        <v>872</v>
      </c>
      <c r="N330" t="s">
        <v>18</v>
      </c>
      <c r="O330">
        <f>INDEX(PlasticsDataCompilation!$D$20:$D$36,MATCH(dataforsankey!$P330,PlasticsDataCompilation!$A$20:$A$36,0),1)*INDEX(PlasticsUse!$B$27:$L$43,MATCH(dataforsankey!$P330,PlasticsUse!$A$27:$A$43,0),MATCH($N330,PlasticsUse!$B$26:$L$26,0))</f>
        <v>0</v>
      </c>
      <c r="P330" t="s">
        <v>30</v>
      </c>
      <c r="S330" t="s">
        <v>69</v>
      </c>
      <c r="T330" t="s">
        <v>335</v>
      </c>
      <c r="U330" s="11">
        <f t="shared" si="29"/>
        <v>0.72861536240787916</v>
      </c>
      <c r="V330" t="s">
        <v>105</v>
      </c>
      <c r="Y330" t="s">
        <v>69</v>
      </c>
      <c r="Z330" t="s">
        <v>335</v>
      </c>
      <c r="AA330" s="11">
        <f>SUMIFS($O$23:$O$953,$M$23:$M$953,Y330,$N$23:$N$953,Z330,$P$23:$P$953,AB330)</f>
        <v>0.72861536240787916</v>
      </c>
      <c r="AB330" t="s">
        <v>105</v>
      </c>
      <c r="AE330" t="s">
        <v>69</v>
      </c>
      <c r="AF330" t="s">
        <v>335</v>
      </c>
      <c r="AG330" s="11">
        <f>SUMIFS($O$23:$O$953,$M$23:$M$953,AE330,$N$23:$N$953,AF330,$P$23:$P$953,AH330)</f>
        <v>0.72861536240787916</v>
      </c>
      <c r="AH330" t="s">
        <v>105</v>
      </c>
    </row>
    <row r="331" spans="7:34" x14ac:dyDescent="0.2">
      <c r="G331" t="s">
        <v>100</v>
      </c>
      <c r="H331" t="s">
        <v>6</v>
      </c>
      <c r="I331">
        <f>SUMIFS('CompilationCalcs - EPA EOL'!$G$4:$G$264,'CompilationCalcs - EPA EOL'!$F$4:$F$264,dataforsankey!$H331,'CompilationCalcs - EPA EOL'!$A$4:$A$264,dataforsankey!$J331,'CompilationCalcs - EPA EOL'!$B$4:$B$264,dataforsankey!$G331)</f>
        <v>0</v>
      </c>
      <c r="J331" t="s">
        <v>2</v>
      </c>
      <c r="M331" t="s">
        <v>872</v>
      </c>
      <c r="N331" t="s">
        <v>38</v>
      </c>
      <c r="O331">
        <f>INDEX(PlasticsDataCompilation!$D$20:$D$36,MATCH(dataforsankey!$P331,PlasticsDataCompilation!$A$20:$A$36,0),1)*INDEX(PlasticsUse!$B$27:$L$43,MATCH(dataforsankey!$P331,PlasticsUse!$A$27:$A$43,0),MATCH($N331,PlasticsUse!$B$26:$L$26,0))</f>
        <v>5.1827690172780612E-3</v>
      </c>
      <c r="P331" t="s">
        <v>31</v>
      </c>
      <c r="S331" t="s">
        <v>100</v>
      </c>
      <c r="T331" t="s">
        <v>330</v>
      </c>
      <c r="U331" s="11">
        <f t="shared" si="29"/>
        <v>0</v>
      </c>
      <c r="V331" t="s">
        <v>105</v>
      </c>
      <c r="Y331" s="177" t="s">
        <v>100</v>
      </c>
      <c r="Z331" s="177" t="s">
        <v>330</v>
      </c>
      <c r="AA331" s="178">
        <f>INDEX('In-Use Stocks'!$M$81:$V$97,MATCH(dataforsankey!$AB331,'In-Use Stocks'!$L$81:$L$97,0),MATCH(dataforsankey!$Y331,'In-Use Stocks'!$M$80:$V$80,0))</f>
        <v>0</v>
      </c>
      <c r="AB331" s="177" t="s">
        <v>105</v>
      </c>
      <c r="AE331" s="177" t="s">
        <v>100</v>
      </c>
      <c r="AF331" s="177" t="s">
        <v>330</v>
      </c>
      <c r="AG331" s="178">
        <f>INDEX('In-Use Stocks'!$M$81:$V$97,MATCH(dataforsankey!$AB331,'In-Use Stocks'!$L$81:$L$97,0),MATCH(dataforsankey!$Y331,'In-Use Stocks'!$M$80:$V$80,0))</f>
        <v>0</v>
      </c>
      <c r="AH331" s="177" t="s">
        <v>105</v>
      </c>
    </row>
    <row r="332" spans="7:34" x14ac:dyDescent="0.2">
      <c r="G332" t="s">
        <v>100</v>
      </c>
      <c r="H332" t="s">
        <v>6</v>
      </c>
      <c r="I332">
        <f>SUMIFS('CompilationCalcs - EPA EOL'!$G$4:$G$264,'CompilationCalcs - EPA EOL'!$F$4:$F$264,dataforsankey!$H332,'CompilationCalcs - EPA EOL'!$A$4:$A$264,dataforsankey!$J332,'CompilationCalcs - EPA EOL'!$B$4:$B$264,dataforsankey!$G332)</f>
        <v>3.5536543963663465E-2</v>
      </c>
      <c r="J332" t="s">
        <v>1</v>
      </c>
      <c r="M332" t="s">
        <v>872</v>
      </c>
      <c r="N332" t="s">
        <v>99</v>
      </c>
      <c r="O332">
        <f>INDEX(PlasticsDataCompilation!$D$20:$D$36,MATCH(dataforsankey!$P332,PlasticsDataCompilation!$A$20:$A$36,0),1)*INDEX(PlasticsUse!$B$27:$L$43,MATCH(dataforsankey!$P332,PlasticsUse!$A$27:$A$43,0),MATCH($N332,PlasticsUse!$B$26:$L$26,0))</f>
        <v>0</v>
      </c>
      <c r="P332" t="s">
        <v>31</v>
      </c>
      <c r="S332" t="s">
        <v>39</v>
      </c>
      <c r="T332" t="s">
        <v>330</v>
      </c>
      <c r="U332" s="11">
        <f t="shared" si="29"/>
        <v>0</v>
      </c>
      <c r="V332" t="s">
        <v>105</v>
      </c>
      <c r="Y332" s="177" t="s">
        <v>39</v>
      </c>
      <c r="Z332" s="177" t="s">
        <v>330</v>
      </c>
      <c r="AA332" s="178">
        <f>INDEX('In-Use Stocks'!$M$81:$V$97,MATCH(dataforsankey!$AB332,'In-Use Stocks'!$L$81:$L$97,0),MATCH(dataforsankey!$Y332,'In-Use Stocks'!$M$80:$V$80,0))</f>
        <v>0</v>
      </c>
      <c r="AB332" s="177" t="s">
        <v>105</v>
      </c>
      <c r="AE332" s="177" t="s">
        <v>39</v>
      </c>
      <c r="AF332" s="177" t="s">
        <v>330</v>
      </c>
      <c r="AG332" s="178">
        <f>INDEX('In-Use Stocks'!$M$81:$V$97,MATCH(dataforsankey!$AB332,'In-Use Stocks'!$L$81:$L$97,0),MATCH(dataforsankey!$Y332,'In-Use Stocks'!$M$80:$V$80,0))</f>
        <v>0</v>
      </c>
      <c r="AH332" s="177" t="s">
        <v>105</v>
      </c>
    </row>
    <row r="333" spans="7:34" x14ac:dyDescent="0.2">
      <c r="G333" t="s">
        <v>100</v>
      </c>
      <c r="H333" t="s">
        <v>6</v>
      </c>
      <c r="I333">
        <f>SUMIFS('CompilationCalcs - EPA EOL'!$G$4:$G$264,'CompilationCalcs - EPA EOL'!$F$4:$F$264,dataforsankey!$H333,'CompilationCalcs - EPA EOL'!$A$4:$A$264,dataforsankey!$J333,'CompilationCalcs - EPA EOL'!$B$4:$B$264,dataforsankey!$G333)</f>
        <v>0</v>
      </c>
      <c r="J333" t="s">
        <v>7</v>
      </c>
      <c r="M333" t="s">
        <v>872</v>
      </c>
      <c r="N333" t="s">
        <v>69</v>
      </c>
      <c r="O333">
        <f>INDEX(PlasticsDataCompilation!$D$20:$D$36,MATCH(dataforsankey!$P333,PlasticsDataCompilation!$A$20:$A$36,0),1)*INDEX(PlasticsUse!$B$27:$L$43,MATCH(dataforsankey!$P333,PlasticsUse!$A$27:$A$43,0),MATCH($N333,PlasticsUse!$B$26:$L$26,0))</f>
        <v>1.7103137757017599E-2</v>
      </c>
      <c r="P333" t="s">
        <v>31</v>
      </c>
      <c r="S333" t="s">
        <v>68</v>
      </c>
      <c r="T333" t="s">
        <v>330</v>
      </c>
      <c r="U333" s="11">
        <f t="shared" si="29"/>
        <v>0</v>
      </c>
      <c r="V333" t="s">
        <v>105</v>
      </c>
      <c r="Y333" s="177" t="s">
        <v>68</v>
      </c>
      <c r="Z333" s="177" t="s">
        <v>330</v>
      </c>
      <c r="AA333" s="178">
        <f>INDEX('In-Use Stocks'!$M$81:$V$97,MATCH(dataforsankey!$AB333,'In-Use Stocks'!$L$81:$L$97,0),MATCH(dataforsankey!$Y333,'In-Use Stocks'!$M$80:$V$80,0))</f>
        <v>0</v>
      </c>
      <c r="AB333" s="177" t="s">
        <v>105</v>
      </c>
      <c r="AE333" s="177" t="s">
        <v>68</v>
      </c>
      <c r="AF333" s="177" t="s">
        <v>330</v>
      </c>
      <c r="AG333" s="178">
        <f>INDEX('In-Use Stocks'!$M$81:$V$97,MATCH(dataforsankey!$AB333,'In-Use Stocks'!$L$81:$L$97,0),MATCH(dataforsankey!$Y333,'In-Use Stocks'!$M$80:$V$80,0))</f>
        <v>0</v>
      </c>
      <c r="AH333" s="177" t="s">
        <v>105</v>
      </c>
    </row>
    <row r="334" spans="7:34" x14ac:dyDescent="0.2">
      <c r="G334" t="s">
        <v>100</v>
      </c>
      <c r="H334" t="s">
        <v>6</v>
      </c>
      <c r="I334">
        <f>SUMIFS('CompilationCalcs - EPA EOL'!$G$4:$G$264,'CompilationCalcs - EPA EOL'!$F$4:$F$264,dataforsankey!$H334,'CompilationCalcs - EPA EOL'!$A$4:$A$264,dataforsankey!$J334,'CompilationCalcs - EPA EOL'!$B$4:$B$264,dataforsankey!$G334)</f>
        <v>0</v>
      </c>
      <c r="J334" t="s">
        <v>8</v>
      </c>
      <c r="M334" t="s">
        <v>872</v>
      </c>
      <c r="N334" t="s">
        <v>100</v>
      </c>
      <c r="O334">
        <f>INDEX(PlasticsDataCompilation!$D$20:$D$36,MATCH(dataforsankey!$P334,PlasticsDataCompilation!$A$20:$A$36,0),1)*INDEX(PlasticsUse!$B$27:$L$43,MATCH(dataforsankey!$P334,PlasticsUse!$A$27:$A$43,0),MATCH($N334,PlasticsUse!$B$26:$L$26,0))</f>
        <v>0</v>
      </c>
      <c r="P334" t="s">
        <v>31</v>
      </c>
      <c r="S334" t="s">
        <v>63</v>
      </c>
      <c r="T334" t="s">
        <v>330</v>
      </c>
      <c r="U334" s="11">
        <f t="shared" si="29"/>
        <v>0</v>
      </c>
      <c r="V334" t="s">
        <v>105</v>
      </c>
      <c r="Y334" s="177" t="s">
        <v>63</v>
      </c>
      <c r="Z334" s="177" t="s">
        <v>330</v>
      </c>
      <c r="AA334" s="178">
        <f>INDEX('In-Use Stocks'!$M$81:$V$97,MATCH(dataforsankey!$AB334,'In-Use Stocks'!$L$81:$L$97,0),MATCH(dataforsankey!$Y334,'In-Use Stocks'!$M$80:$V$80,0))</f>
        <v>0</v>
      </c>
      <c r="AB334" s="177" t="s">
        <v>105</v>
      </c>
      <c r="AE334" s="177" t="s">
        <v>63</v>
      </c>
      <c r="AF334" s="177" t="s">
        <v>330</v>
      </c>
      <c r="AG334" s="178">
        <f>INDEX('In-Use Stocks'!$M$81:$V$97,MATCH(dataforsankey!$AB334,'In-Use Stocks'!$L$81:$L$97,0),MATCH(dataforsankey!$Y334,'In-Use Stocks'!$M$80:$V$80,0))</f>
        <v>0</v>
      </c>
      <c r="AH334" s="177" t="s">
        <v>105</v>
      </c>
    </row>
    <row r="335" spans="7:34" x14ac:dyDescent="0.2">
      <c r="G335" t="s">
        <v>100</v>
      </c>
      <c r="H335" t="s">
        <v>6</v>
      </c>
      <c r="I335">
        <f>SUMIFS('CompilationCalcs - EPA EOL'!$G$4:$G$264,'CompilationCalcs - EPA EOL'!$F$4:$F$264,dataforsankey!$H335,'CompilationCalcs - EPA EOL'!$A$4:$A$264,dataforsankey!$J335,'CompilationCalcs - EPA EOL'!$B$4:$B$264,dataforsankey!$G335)</f>
        <v>0</v>
      </c>
      <c r="J335" t="s">
        <v>9</v>
      </c>
      <c r="M335" t="s">
        <v>872</v>
      </c>
      <c r="N335" t="s">
        <v>39</v>
      </c>
      <c r="O335">
        <f>INDEX(PlasticsDataCompilation!$D$20:$D$36,MATCH(dataforsankey!$P335,PlasticsDataCompilation!$A$20:$A$36,0),1)*INDEX(PlasticsUse!$B$27:$L$43,MATCH(dataforsankey!$P335,PlasticsUse!$A$27:$A$43,0),MATCH($N335,PlasticsUse!$B$26:$L$26,0))</f>
        <v>0</v>
      </c>
      <c r="P335" t="s">
        <v>31</v>
      </c>
      <c r="S335" t="s">
        <v>92</v>
      </c>
      <c r="T335" t="s">
        <v>330</v>
      </c>
      <c r="U335" s="11">
        <f t="shared" si="29"/>
        <v>5.2204894800384913E-2</v>
      </c>
      <c r="V335" t="s">
        <v>105</v>
      </c>
      <c r="Y335" s="177" t="s">
        <v>92</v>
      </c>
      <c r="Z335" s="177" t="s">
        <v>330</v>
      </c>
      <c r="AA335" s="178">
        <f>INDEX('In-Use Stocks'!$M$81:$V$97,MATCH(dataforsankey!$AB335,'In-Use Stocks'!$L$81:$L$97,0),MATCH(dataforsankey!$Y335,'In-Use Stocks'!$M$80:$V$80,0))</f>
        <v>5.2204894800384913E-2</v>
      </c>
      <c r="AB335" s="177" t="s">
        <v>105</v>
      </c>
      <c r="AE335" s="177" t="s">
        <v>92</v>
      </c>
      <c r="AF335" s="177" t="s">
        <v>330</v>
      </c>
      <c r="AG335" s="178">
        <f>INDEX('In-Use Stocks'!$M$81:$V$97,MATCH(dataforsankey!$AB335,'In-Use Stocks'!$L$81:$L$97,0),MATCH(dataforsankey!$Y335,'In-Use Stocks'!$M$80:$V$80,0))</f>
        <v>5.2204894800384913E-2</v>
      </c>
      <c r="AH335" s="177" t="s">
        <v>105</v>
      </c>
    </row>
    <row r="336" spans="7:34" x14ac:dyDescent="0.2">
      <c r="G336" t="s">
        <v>100</v>
      </c>
      <c r="H336" t="s">
        <v>6</v>
      </c>
      <c r="I336">
        <f>SUMIFS('CompilationCalcs - EPA EOL'!$G$4:$G$264,'CompilationCalcs - EPA EOL'!$F$4:$F$264,dataforsankey!$H336,'CompilationCalcs - EPA EOL'!$A$4:$A$264,dataforsankey!$J336,'CompilationCalcs - EPA EOL'!$B$4:$B$264,dataforsankey!$G336)</f>
        <v>0</v>
      </c>
      <c r="J336" t="s">
        <v>10</v>
      </c>
      <c r="M336" t="s">
        <v>872</v>
      </c>
      <c r="N336" t="s">
        <v>68</v>
      </c>
      <c r="O336">
        <f>INDEX(PlasticsDataCompilation!$D$20:$D$36,MATCH(dataforsankey!$P336,PlasticsDataCompilation!$A$20:$A$36,0),1)*INDEX(PlasticsUse!$B$27:$L$43,MATCH(dataforsankey!$P336,PlasticsUse!$A$27:$A$43,0),MATCH($N336,PlasticsUse!$B$26:$L$26,0))</f>
        <v>5.701045919005867E-2</v>
      </c>
      <c r="P336" t="s">
        <v>31</v>
      </c>
      <c r="S336" t="s">
        <v>103</v>
      </c>
      <c r="T336" t="s">
        <v>330</v>
      </c>
      <c r="U336" s="11">
        <f t="shared" si="29"/>
        <v>0.10385639041391555</v>
      </c>
      <c r="V336" t="s">
        <v>105</v>
      </c>
      <c r="Y336" s="177" t="s">
        <v>103</v>
      </c>
      <c r="Z336" s="177" t="s">
        <v>330</v>
      </c>
      <c r="AA336" s="178">
        <f>INDEX('In-Use Stocks'!$M$81:$V$97,MATCH(dataforsankey!$AB336,'In-Use Stocks'!$L$81:$L$97,0),MATCH(dataforsankey!$Y336,'In-Use Stocks'!$M$80:$V$80,0))</f>
        <v>0.10385639041391555</v>
      </c>
      <c r="AB336" s="177" t="s">
        <v>105</v>
      </c>
      <c r="AE336" s="177" t="s">
        <v>103</v>
      </c>
      <c r="AF336" s="177" t="s">
        <v>330</v>
      </c>
      <c r="AG336" s="178">
        <f>INDEX('In-Use Stocks'!$M$81:$V$97,MATCH(dataforsankey!$AB336,'In-Use Stocks'!$L$81:$L$97,0),MATCH(dataforsankey!$Y336,'In-Use Stocks'!$M$80:$V$80,0))</f>
        <v>0.10385639041391555</v>
      </c>
      <c r="AH336" s="177" t="s">
        <v>105</v>
      </c>
    </row>
    <row r="337" spans="7:34" ht="19" customHeight="1" x14ac:dyDescent="0.2">
      <c r="G337" t="s">
        <v>100</v>
      </c>
      <c r="H337" t="s">
        <v>6</v>
      </c>
      <c r="I337">
        <f>SUMIFS('CompilationCalcs - EPA EOL'!$G$4:$G$264,'CompilationCalcs - EPA EOL'!$F$4:$F$264,dataforsankey!$H337,'CompilationCalcs - EPA EOL'!$A$4:$A$264,dataforsankey!$J337,'CompilationCalcs - EPA EOL'!$B$4:$B$264,dataforsankey!$G337)</f>
        <v>0</v>
      </c>
      <c r="J337" t="s">
        <v>11</v>
      </c>
      <c r="M337" t="s">
        <v>872</v>
      </c>
      <c r="N337" t="s">
        <v>63</v>
      </c>
      <c r="O337">
        <f>INDEX(PlasticsDataCompilation!$D$20:$D$36,MATCH(dataforsankey!$P337,PlasticsDataCompilation!$A$20:$A$36,0),1)*INDEX(PlasticsUse!$B$27:$L$43,MATCH(dataforsankey!$P337,PlasticsUse!$A$27:$A$43,0),MATCH($N337,PlasticsUse!$B$26:$L$26,0))</f>
        <v>1.7103137757017599E-2</v>
      </c>
      <c r="P337" t="s">
        <v>31</v>
      </c>
      <c r="S337" t="s">
        <v>86</v>
      </c>
      <c r="T337" t="s">
        <v>330</v>
      </c>
      <c r="U337" s="11">
        <f t="shared" si="29"/>
        <v>2.9831368457362002E-3</v>
      </c>
      <c r="V337" t="s">
        <v>105</v>
      </c>
      <c r="Y337" s="177" t="s">
        <v>86</v>
      </c>
      <c r="Z337" s="177" t="s">
        <v>330</v>
      </c>
      <c r="AA337" s="178">
        <f>INDEX('In-Use Stocks'!$M$81:$V$97,MATCH(dataforsankey!$AB337,'In-Use Stocks'!$L$81:$L$97,0),MATCH(dataforsankey!$Y337,'In-Use Stocks'!$M$80:$V$80,0))</f>
        <v>2.9831368457362002E-3</v>
      </c>
      <c r="AB337" s="177" t="s">
        <v>105</v>
      </c>
      <c r="AE337" s="177" t="s">
        <v>86</v>
      </c>
      <c r="AF337" s="177" t="s">
        <v>330</v>
      </c>
      <c r="AG337" s="178">
        <f>INDEX('In-Use Stocks'!$M$81:$V$97,MATCH(dataforsankey!$AB337,'In-Use Stocks'!$L$81:$L$97,0),MATCH(dataforsankey!$Y337,'In-Use Stocks'!$M$80:$V$80,0))</f>
        <v>2.9831368457362002E-3</v>
      </c>
      <c r="AH337" s="177" t="s">
        <v>105</v>
      </c>
    </row>
    <row r="338" spans="7:34" x14ac:dyDescent="0.2">
      <c r="G338" t="s">
        <v>100</v>
      </c>
      <c r="H338" t="s">
        <v>6</v>
      </c>
      <c r="I338">
        <f>SUMIFS('CompilationCalcs - EPA EOL'!$G$4:$G$264,'CompilationCalcs - EPA EOL'!$F$4:$F$264,dataforsankey!$H338,'CompilationCalcs - EPA EOL'!$A$4:$A$264,dataforsankey!$J338,'CompilationCalcs - EPA EOL'!$B$4:$B$264,dataforsankey!$G338)</f>
        <v>0</v>
      </c>
      <c r="J338" t="s">
        <v>127</v>
      </c>
      <c r="M338" t="s">
        <v>872</v>
      </c>
      <c r="N338" t="s">
        <v>92</v>
      </c>
      <c r="O338">
        <f>INDEX(PlasticsDataCompilation!$D$20:$D$36,MATCH(dataforsankey!$P338,PlasticsDataCompilation!$A$20:$A$36,0),1)*INDEX(PlasticsUse!$B$27:$L$43,MATCH(dataforsankey!$P338,PlasticsUse!$A$27:$A$43,0),MATCH($N338,PlasticsUse!$B$26:$L$26,0))</f>
        <v>0</v>
      </c>
      <c r="P338" t="s">
        <v>31</v>
      </c>
      <c r="S338" t="s">
        <v>330</v>
      </c>
      <c r="T338" t="s">
        <v>191</v>
      </c>
      <c r="U338" s="11">
        <f t="shared" si="29"/>
        <v>3.069380475302677</v>
      </c>
      <c r="V338" t="s">
        <v>82</v>
      </c>
      <c r="Y338" t="s">
        <v>891</v>
      </c>
      <c r="Z338" t="s">
        <v>38</v>
      </c>
      <c r="AA338" s="11">
        <f t="shared" ref="AA338:AA401" si="30">SUMIFS($O$23:$O$953,$M$23:$M$953,Y338,$N$23:$N$953,Z338,$P$23:$P$953,AB338)</f>
        <v>0</v>
      </c>
      <c r="AB338" t="s">
        <v>82</v>
      </c>
      <c r="AE338" t="s">
        <v>891</v>
      </c>
      <c r="AF338" t="s">
        <v>38</v>
      </c>
      <c r="AG338" s="11">
        <f t="shared" ref="AG338:AG401" si="31">SUMIFS($O$23:$O$953,$M$23:$M$953,AE338,$N$23:$N$953,AF338,$P$23:$P$953,AH338)</f>
        <v>0</v>
      </c>
      <c r="AH338" t="s">
        <v>82</v>
      </c>
    </row>
    <row r="339" spans="7:34" x14ac:dyDescent="0.2">
      <c r="G339" t="s">
        <v>100</v>
      </c>
      <c r="H339" t="s">
        <v>6</v>
      </c>
      <c r="I339">
        <f>SUMIFS('CompilationCalcs - EPA EOL'!$G$4:$G$264,'CompilationCalcs - EPA EOL'!$F$4:$F$264,dataforsankey!$H339,'CompilationCalcs - EPA EOL'!$A$4:$A$264,dataforsankey!$J339,'CompilationCalcs - EPA EOL'!$B$4:$B$264,dataforsankey!$G339)</f>
        <v>0</v>
      </c>
      <c r="J339" t="s">
        <v>122</v>
      </c>
      <c r="M339" t="s">
        <v>872</v>
      </c>
      <c r="N339" t="s">
        <v>103</v>
      </c>
      <c r="O339">
        <f>INDEX(PlasticsDataCompilation!$D$20:$D$36,MATCH(dataforsankey!$P339,PlasticsDataCompilation!$A$20:$A$36,0),1)*INDEX(PlasticsUse!$B$27:$L$43,MATCH(dataforsankey!$P339,PlasticsUse!$A$27:$A$43,0),MATCH($N339,PlasticsUse!$B$26:$L$26,0))</f>
        <v>0</v>
      </c>
      <c r="P339" t="s">
        <v>31</v>
      </c>
      <c r="S339" t="s">
        <v>330</v>
      </c>
      <c r="T339" t="s">
        <v>333</v>
      </c>
      <c r="U339" s="11">
        <f t="shared" si="29"/>
        <v>0.64802740611894927</v>
      </c>
      <c r="V339" t="s">
        <v>82</v>
      </c>
      <c r="Y339" t="s">
        <v>891</v>
      </c>
      <c r="Z339" t="s">
        <v>99</v>
      </c>
      <c r="AA339" s="11">
        <f t="shared" si="30"/>
        <v>0.26817736521480401</v>
      </c>
      <c r="AB339" t="s">
        <v>82</v>
      </c>
      <c r="AE339" t="s">
        <v>891</v>
      </c>
      <c r="AF339" t="s">
        <v>99</v>
      </c>
      <c r="AG339" s="11">
        <f t="shared" si="31"/>
        <v>0.26817736521480401</v>
      </c>
      <c r="AH339" t="s">
        <v>82</v>
      </c>
    </row>
    <row r="340" spans="7:34" x14ac:dyDescent="0.2">
      <c r="G340" t="s">
        <v>100</v>
      </c>
      <c r="H340" t="s">
        <v>6</v>
      </c>
      <c r="I340">
        <f>SUMIFS('CompilationCalcs - EPA EOL'!$G$4:$G$264,'CompilationCalcs - EPA EOL'!$F$4:$F$264,dataforsankey!$H340,'CompilationCalcs - EPA EOL'!$A$4:$A$264,dataforsankey!$J340,'CompilationCalcs - EPA EOL'!$B$4:$B$264,dataforsankey!$G340)</f>
        <v>0</v>
      </c>
      <c r="J340" t="s">
        <v>82</v>
      </c>
      <c r="M340" t="s">
        <v>872</v>
      </c>
      <c r="N340" t="s">
        <v>86</v>
      </c>
      <c r="O340">
        <f>INDEX(PlasticsDataCompilation!$D$20:$D$36,MATCH(dataforsankey!$P340,PlasticsDataCompilation!$A$20:$A$36,0),1)*INDEX(PlasticsUse!$B$27:$L$43,MATCH(dataforsankey!$P340,PlasticsUse!$A$27:$A$43,0),MATCH($N340,PlasticsUse!$B$26:$L$26,0))</f>
        <v>7.2558766241892685E-3</v>
      </c>
      <c r="P340" t="s">
        <v>31</v>
      </c>
      <c r="S340" t="s">
        <v>330</v>
      </c>
      <c r="T340" t="s">
        <v>6</v>
      </c>
      <c r="U340" s="11">
        <f t="shared" si="29"/>
        <v>13.242799154716328</v>
      </c>
      <c r="V340" t="s">
        <v>82</v>
      </c>
      <c r="Y340" t="s">
        <v>891</v>
      </c>
      <c r="Z340" t="s">
        <v>69</v>
      </c>
      <c r="AA340" s="11">
        <f t="shared" si="30"/>
        <v>0.55717219943835039</v>
      </c>
      <c r="AB340" t="s">
        <v>82</v>
      </c>
      <c r="AE340" t="s">
        <v>891</v>
      </c>
      <c r="AF340" t="s">
        <v>69</v>
      </c>
      <c r="AG340" s="11">
        <f t="shared" si="31"/>
        <v>0.55717219943835039</v>
      </c>
      <c r="AH340" t="s">
        <v>82</v>
      </c>
    </row>
    <row r="341" spans="7:34" x14ac:dyDescent="0.2">
      <c r="G341" t="s">
        <v>39</v>
      </c>
      <c r="H341" t="s">
        <v>4</v>
      </c>
      <c r="I341">
        <f>SUMIFS('CompilationCalcs - EPA EOL'!$G$4:$G$264,'CompilationCalcs - EPA EOL'!$F$4:$F$264,dataforsankey!$H341,'CompilationCalcs - EPA EOL'!$A$4:$A$264,dataforsankey!$J341,'CompilationCalcs - EPA EOL'!$B$4:$B$264,dataforsankey!$G341)</f>
        <v>0</v>
      </c>
      <c r="J341" t="s">
        <v>0</v>
      </c>
      <c r="M341" t="s">
        <v>872</v>
      </c>
      <c r="N341" t="s">
        <v>18</v>
      </c>
      <c r="O341">
        <f>INDEX(PlasticsDataCompilation!$D$20:$D$36,MATCH(dataforsankey!$P341,PlasticsDataCompilation!$A$20:$A$36,0),1)*INDEX(PlasticsUse!$B$27:$L$43,MATCH(dataforsankey!$P341,PlasticsUse!$A$27:$A$43,0),MATCH($N341,PlasticsUse!$B$26:$L$26,0))</f>
        <v>0</v>
      </c>
      <c r="P341" t="s">
        <v>31</v>
      </c>
      <c r="S341" t="s">
        <v>330</v>
      </c>
      <c r="T341" t="s">
        <v>5</v>
      </c>
      <c r="U341" s="11">
        <f t="shared" si="29"/>
        <v>1.555198347731312</v>
      </c>
      <c r="V341" t="s">
        <v>82</v>
      </c>
      <c r="Y341" t="s">
        <v>891</v>
      </c>
      <c r="Z341" t="s">
        <v>100</v>
      </c>
      <c r="AA341" s="11">
        <f t="shared" si="30"/>
        <v>0</v>
      </c>
      <c r="AB341" t="s">
        <v>82</v>
      </c>
      <c r="AE341" t="s">
        <v>891</v>
      </c>
      <c r="AF341" t="s">
        <v>100</v>
      </c>
      <c r="AG341" s="11">
        <f t="shared" si="31"/>
        <v>0</v>
      </c>
      <c r="AH341" t="s">
        <v>82</v>
      </c>
    </row>
    <row r="342" spans="7:34" x14ac:dyDescent="0.2">
      <c r="G342" t="s">
        <v>39</v>
      </c>
      <c r="H342" t="s">
        <v>4</v>
      </c>
      <c r="I342">
        <f>SUMIFS('CompilationCalcs - EPA EOL'!$G$4:$G$264,'CompilationCalcs - EPA EOL'!$F$4:$F$264,dataforsankey!$H342,'CompilationCalcs - EPA EOL'!$A$4:$A$264,dataforsankey!$J342,'CompilationCalcs - EPA EOL'!$B$4:$B$264,dataforsankey!$G342)</f>
        <v>0.71361818181818171</v>
      </c>
      <c r="J342" t="s">
        <v>2</v>
      </c>
      <c r="M342" t="s">
        <v>872</v>
      </c>
      <c r="N342" t="s">
        <v>38</v>
      </c>
      <c r="O342">
        <f>INDEX(PlasticsDataCompilation!$D$20:$D$36,MATCH(dataforsankey!$P342,PlasticsDataCompilation!$A$20:$A$36,0),1)*INDEX(PlasticsUse!$B$27:$L$43,MATCH(dataforsankey!$P342,PlasticsUse!$A$27:$A$43,0),MATCH($N342,PlasticsUse!$B$26:$L$26,0))</f>
        <v>0</v>
      </c>
      <c r="P342" t="s">
        <v>122</v>
      </c>
      <c r="S342" t="s">
        <v>330</v>
      </c>
      <c r="T342" t="s">
        <v>358</v>
      </c>
      <c r="U342" s="11">
        <f t="shared" si="29"/>
        <v>0</v>
      </c>
      <c r="V342" t="s">
        <v>82</v>
      </c>
      <c r="Y342" t="s">
        <v>891</v>
      </c>
      <c r="Z342" t="s">
        <v>39</v>
      </c>
      <c r="AA342" s="11">
        <f t="shared" si="30"/>
        <v>0.43530715382209723</v>
      </c>
      <c r="AB342" t="s">
        <v>82</v>
      </c>
      <c r="AE342" t="s">
        <v>891</v>
      </c>
      <c r="AF342" t="s">
        <v>39</v>
      </c>
      <c r="AG342" s="11">
        <f t="shared" si="31"/>
        <v>0.43530715382209723</v>
      </c>
      <c r="AH342" t="s">
        <v>82</v>
      </c>
    </row>
    <row r="343" spans="7:34" x14ac:dyDescent="0.2">
      <c r="G343" t="s">
        <v>39</v>
      </c>
      <c r="H343" t="s">
        <v>4</v>
      </c>
      <c r="I343">
        <f>SUMIFS('CompilationCalcs - EPA EOL'!$G$4:$G$264,'CompilationCalcs - EPA EOL'!$F$4:$F$264,dataforsankey!$H343,'CompilationCalcs - EPA EOL'!$A$4:$A$264,dataforsankey!$J343,'CompilationCalcs - EPA EOL'!$B$4:$B$264,dataforsankey!$G343)</f>
        <v>4.6280150278259401E-2</v>
      </c>
      <c r="J343" t="s">
        <v>1</v>
      </c>
      <c r="M343" t="s">
        <v>872</v>
      </c>
      <c r="N343" t="s">
        <v>99</v>
      </c>
      <c r="O343">
        <f>INDEX(PlasticsDataCompilation!$D$20:$D$36,MATCH(dataforsankey!$P343,PlasticsDataCompilation!$A$20:$A$36,0),1)*INDEX(PlasticsUse!$B$27:$L$43,MATCH(dataforsankey!$P343,PlasticsUse!$A$27:$A$43,0),MATCH($N343,PlasticsUse!$B$26:$L$26,0))</f>
        <v>0</v>
      </c>
      <c r="P343" t="s">
        <v>122</v>
      </c>
      <c r="S343" t="s">
        <v>335</v>
      </c>
      <c r="T343" t="s">
        <v>191</v>
      </c>
      <c r="U343" s="11">
        <f t="shared" ref="U343:U406" si="32">SUMIFS($O$23:$O$935,$M$23:$M$935,S343,$N$23:$N$935,T343,$P$23:$P$935,V343)</f>
        <v>0.30693190889208982</v>
      </c>
      <c r="V343" t="s">
        <v>82</v>
      </c>
      <c r="Y343" t="s">
        <v>891</v>
      </c>
      <c r="Z343" t="s">
        <v>68</v>
      </c>
      <c r="AA343" s="11">
        <f t="shared" si="30"/>
        <v>0.71151219667875232</v>
      </c>
      <c r="AB343" t="s">
        <v>82</v>
      </c>
      <c r="AE343" t="s">
        <v>891</v>
      </c>
      <c r="AF343" t="s">
        <v>68</v>
      </c>
      <c r="AG343" s="11">
        <f t="shared" si="31"/>
        <v>0.71151219667875232</v>
      </c>
      <c r="AH343" t="s">
        <v>82</v>
      </c>
    </row>
    <row r="344" spans="7:34" x14ac:dyDescent="0.2">
      <c r="G344" t="s">
        <v>39</v>
      </c>
      <c r="H344" t="s">
        <v>4</v>
      </c>
      <c r="I344">
        <f>SUMIFS('CompilationCalcs - EPA EOL'!$G$4:$G$264,'CompilationCalcs - EPA EOL'!$F$4:$F$264,dataforsankey!$H344,'CompilationCalcs - EPA EOL'!$A$4:$A$264,dataforsankey!$J344,'CompilationCalcs - EPA EOL'!$B$4:$B$264,dataforsankey!$G344)</f>
        <v>0</v>
      </c>
      <c r="J344" t="s">
        <v>7</v>
      </c>
      <c r="M344" t="s">
        <v>872</v>
      </c>
      <c r="N344" t="s">
        <v>69</v>
      </c>
      <c r="O344">
        <f>INDEX(PlasticsDataCompilation!$D$20:$D$36,MATCH(dataforsankey!$P344,PlasticsDataCompilation!$A$20:$A$36,0),1)*INDEX(PlasticsUse!$B$27:$L$43,MATCH(dataforsankey!$P344,PlasticsUse!$A$27:$A$43,0),MATCH($N344,PlasticsUse!$B$26:$L$26,0))</f>
        <v>0</v>
      </c>
      <c r="P344" t="s">
        <v>122</v>
      </c>
      <c r="S344" t="s">
        <v>335</v>
      </c>
      <c r="T344" t="s">
        <v>333</v>
      </c>
      <c r="U344" s="11">
        <f t="shared" si="32"/>
        <v>0</v>
      </c>
      <c r="V344" t="s">
        <v>82</v>
      </c>
      <c r="Y344" t="s">
        <v>891</v>
      </c>
      <c r="Z344" t="s">
        <v>63</v>
      </c>
      <c r="AA344" s="11">
        <f t="shared" si="30"/>
        <v>0.26696692704760661</v>
      </c>
      <c r="AB344" t="s">
        <v>82</v>
      </c>
      <c r="AE344" t="s">
        <v>891</v>
      </c>
      <c r="AF344" t="s">
        <v>63</v>
      </c>
      <c r="AG344" s="11">
        <f t="shared" si="31"/>
        <v>0.26696692704760661</v>
      </c>
      <c r="AH344" t="s">
        <v>82</v>
      </c>
    </row>
    <row r="345" spans="7:34" x14ac:dyDescent="0.2">
      <c r="G345" t="s">
        <v>39</v>
      </c>
      <c r="H345" t="s">
        <v>4</v>
      </c>
      <c r="I345">
        <f>SUMIFS('CompilationCalcs - EPA EOL'!$G$4:$G$264,'CompilationCalcs - EPA EOL'!$F$4:$F$264,dataforsankey!$H345,'CompilationCalcs - EPA EOL'!$A$4:$A$264,dataforsankey!$J345,'CompilationCalcs - EPA EOL'!$B$4:$B$264,dataforsankey!$G345)</f>
        <v>3.0577956433849963E-2</v>
      </c>
      <c r="J345" t="s">
        <v>8</v>
      </c>
      <c r="M345" t="s">
        <v>872</v>
      </c>
      <c r="N345" t="s">
        <v>100</v>
      </c>
      <c r="O345">
        <f>INDEX(PlasticsDataCompilation!$D$20:$D$36,MATCH(dataforsankey!$P345,PlasticsDataCompilation!$A$20:$A$36,0),1)*INDEX(PlasticsUse!$B$27:$L$43,MATCH(dataforsankey!$P345,PlasticsUse!$A$27:$A$43,0),MATCH($N345,PlasticsUse!$B$26:$L$26,0))</f>
        <v>0</v>
      </c>
      <c r="P345" t="s">
        <v>122</v>
      </c>
      <c r="S345" t="s">
        <v>335</v>
      </c>
      <c r="T345" t="s">
        <v>6</v>
      </c>
      <c r="U345" s="11">
        <f t="shared" si="32"/>
        <v>1.3242534304030247</v>
      </c>
      <c r="V345" t="s">
        <v>82</v>
      </c>
      <c r="Y345" t="s">
        <v>891</v>
      </c>
      <c r="Z345" t="s">
        <v>92</v>
      </c>
      <c r="AA345" s="11">
        <f t="shared" si="30"/>
        <v>0</v>
      </c>
      <c r="AB345" t="s">
        <v>82</v>
      </c>
      <c r="AE345" t="s">
        <v>891</v>
      </c>
      <c r="AF345" t="s">
        <v>92</v>
      </c>
      <c r="AG345" s="11">
        <f t="shared" si="31"/>
        <v>0</v>
      </c>
      <c r="AH345" t="s">
        <v>82</v>
      </c>
    </row>
    <row r="346" spans="7:34" x14ac:dyDescent="0.2">
      <c r="G346" t="s">
        <v>39</v>
      </c>
      <c r="H346" t="s">
        <v>4</v>
      </c>
      <c r="I346">
        <f>SUMIFS('CompilationCalcs - EPA EOL'!$G$4:$G$264,'CompilationCalcs - EPA EOL'!$F$4:$F$264,dataforsankey!$H346,'CompilationCalcs - EPA EOL'!$A$4:$A$264,dataforsankey!$J346,'CompilationCalcs - EPA EOL'!$B$4:$B$264,dataforsankey!$G346)</f>
        <v>0</v>
      </c>
      <c r="J346" t="s">
        <v>9</v>
      </c>
      <c r="M346" t="s">
        <v>872</v>
      </c>
      <c r="N346" t="s">
        <v>39</v>
      </c>
      <c r="O346">
        <f>INDEX(PlasticsDataCompilation!$D$20:$D$36,MATCH(dataforsankey!$P346,PlasticsDataCompilation!$A$20:$A$36,0),1)*INDEX(PlasticsUse!$B$27:$L$43,MATCH(dataforsankey!$P346,PlasticsUse!$A$27:$A$43,0),MATCH($N346,PlasticsUse!$B$26:$L$26,0))</f>
        <v>0</v>
      </c>
      <c r="P346" t="s">
        <v>122</v>
      </c>
      <c r="S346" t="s">
        <v>335</v>
      </c>
      <c r="T346" t="s">
        <v>5</v>
      </c>
      <c r="U346" s="11">
        <f t="shared" si="32"/>
        <v>0.15551672443864242</v>
      </c>
      <c r="V346" t="s">
        <v>82</v>
      </c>
      <c r="Y346" t="s">
        <v>891</v>
      </c>
      <c r="Z346" t="s">
        <v>103</v>
      </c>
      <c r="AA346" s="11">
        <f t="shared" si="30"/>
        <v>0.36521603508149775</v>
      </c>
      <c r="AB346" t="s">
        <v>82</v>
      </c>
      <c r="AE346" t="s">
        <v>891</v>
      </c>
      <c r="AF346" t="s">
        <v>103</v>
      </c>
      <c r="AG346" s="11">
        <f t="shared" si="31"/>
        <v>0.36521603508149775</v>
      </c>
      <c r="AH346" t="s">
        <v>82</v>
      </c>
    </row>
    <row r="347" spans="7:34" x14ac:dyDescent="0.2">
      <c r="G347" t="s">
        <v>39</v>
      </c>
      <c r="H347" t="s">
        <v>4</v>
      </c>
      <c r="I347">
        <f>SUMIFS('CompilationCalcs - EPA EOL'!$G$4:$G$264,'CompilationCalcs - EPA EOL'!$F$4:$F$264,dataforsankey!$H347,'CompilationCalcs - EPA EOL'!$A$4:$A$264,dataforsankey!$J347,'CompilationCalcs - EPA EOL'!$B$4:$B$264,dataforsankey!$G347)</f>
        <v>4.1321562748445895E-3</v>
      </c>
      <c r="J347" t="s">
        <v>10</v>
      </c>
      <c r="M347" t="s">
        <v>872</v>
      </c>
      <c r="N347" t="s">
        <v>68</v>
      </c>
      <c r="O347">
        <f>INDEX(PlasticsDataCompilation!$D$20:$D$36,MATCH(dataforsankey!$P347,PlasticsDataCompilation!$A$20:$A$36,0),1)*INDEX(PlasticsUse!$B$27:$L$43,MATCH(dataforsankey!$P347,PlasticsUse!$A$27:$A$43,0),MATCH($N347,PlasticsUse!$B$26:$L$26,0))</f>
        <v>0</v>
      </c>
      <c r="P347" t="s">
        <v>122</v>
      </c>
      <c r="S347" t="s">
        <v>335</v>
      </c>
      <c r="T347" t="s">
        <v>358</v>
      </c>
      <c r="U347" s="11">
        <f t="shared" si="32"/>
        <v>0</v>
      </c>
      <c r="V347" t="s">
        <v>82</v>
      </c>
      <c r="Y347" t="s">
        <v>891</v>
      </c>
      <c r="Z347" t="s">
        <v>86</v>
      </c>
      <c r="AA347" s="11">
        <f t="shared" si="30"/>
        <v>0</v>
      </c>
      <c r="AB347" t="s">
        <v>82</v>
      </c>
      <c r="AE347" t="s">
        <v>891</v>
      </c>
      <c r="AF347" t="s">
        <v>86</v>
      </c>
      <c r="AG347" s="11">
        <f t="shared" si="31"/>
        <v>0</v>
      </c>
      <c r="AH347" t="s">
        <v>82</v>
      </c>
    </row>
    <row r="348" spans="7:34" x14ac:dyDescent="0.2">
      <c r="G348" t="s">
        <v>39</v>
      </c>
      <c r="H348" t="s">
        <v>4</v>
      </c>
      <c r="I348">
        <f>SUMIFS('CompilationCalcs - EPA EOL'!$G$4:$G$264,'CompilationCalcs - EPA EOL'!$F$4:$F$264,dataforsankey!$H348,'CompilationCalcs - EPA EOL'!$A$4:$A$264,dataforsankey!$J348,'CompilationCalcs - EPA EOL'!$B$4:$B$264,dataforsankey!$G348)</f>
        <v>1.6528625099378356E-3</v>
      </c>
      <c r="J348" t="s">
        <v>11</v>
      </c>
      <c r="M348" t="s">
        <v>872</v>
      </c>
      <c r="N348" t="s">
        <v>63</v>
      </c>
      <c r="O348">
        <f>INDEX(PlasticsDataCompilation!$D$20:$D$36,MATCH(dataforsankey!$P348,PlasticsDataCompilation!$A$20:$A$36,0),1)*INDEX(PlasticsUse!$B$27:$L$43,MATCH(dataforsankey!$P348,PlasticsUse!$A$27:$A$43,0),MATCH($N348,PlasticsUse!$B$26:$L$26,0))</f>
        <v>0</v>
      </c>
      <c r="P348" t="s">
        <v>122</v>
      </c>
      <c r="S348" t="s">
        <v>330</v>
      </c>
      <c r="T348" t="s">
        <v>191</v>
      </c>
      <c r="U348" s="11">
        <f t="shared" si="32"/>
        <v>0.31504780184305953</v>
      </c>
      <c r="V348" t="s">
        <v>127</v>
      </c>
      <c r="Y348" t="s">
        <v>891</v>
      </c>
      <c r="Z348" t="s">
        <v>18</v>
      </c>
      <c r="AA348" s="11">
        <f t="shared" si="30"/>
        <v>0</v>
      </c>
      <c r="AB348" t="s">
        <v>82</v>
      </c>
      <c r="AE348" t="s">
        <v>891</v>
      </c>
      <c r="AF348" t="s">
        <v>18</v>
      </c>
      <c r="AG348" s="11">
        <f t="shared" si="31"/>
        <v>0</v>
      </c>
      <c r="AH348" t="s">
        <v>82</v>
      </c>
    </row>
    <row r="349" spans="7:34" x14ac:dyDescent="0.2">
      <c r="G349" t="s">
        <v>39</v>
      </c>
      <c r="H349" t="s">
        <v>4</v>
      </c>
      <c r="I349">
        <f>SUMIFS('CompilationCalcs - EPA EOL'!$G$4:$G$264,'CompilationCalcs - EPA EOL'!$F$4:$F$264,dataforsankey!$H349,'CompilationCalcs - EPA EOL'!$A$4:$A$264,dataforsankey!$J349,'CompilationCalcs - EPA EOL'!$B$4:$B$264,dataforsankey!$G349)</f>
        <v>0</v>
      </c>
      <c r="J349" t="s">
        <v>127</v>
      </c>
      <c r="M349" t="s">
        <v>872</v>
      </c>
      <c r="N349" t="s">
        <v>92</v>
      </c>
      <c r="O349">
        <f>INDEX(PlasticsDataCompilation!$D$20:$D$36,MATCH(dataforsankey!$P349,PlasticsDataCompilation!$A$20:$A$36,0),1)*INDEX(PlasticsUse!$B$27:$L$43,MATCH(dataforsankey!$P349,PlasticsUse!$A$27:$A$43,0),MATCH($N349,PlasticsUse!$B$26:$L$26,0))</f>
        <v>0</v>
      </c>
      <c r="P349" t="s">
        <v>122</v>
      </c>
      <c r="S349" t="s">
        <v>330</v>
      </c>
      <c r="T349" t="s">
        <v>333</v>
      </c>
      <c r="U349" s="11">
        <f t="shared" si="32"/>
        <v>0</v>
      </c>
      <c r="V349" t="s">
        <v>127</v>
      </c>
      <c r="Y349" t="s">
        <v>891</v>
      </c>
      <c r="Z349" t="s">
        <v>38</v>
      </c>
      <c r="AA349" s="11">
        <f t="shared" si="30"/>
        <v>0</v>
      </c>
      <c r="AB349" t="s">
        <v>127</v>
      </c>
      <c r="AE349" t="s">
        <v>891</v>
      </c>
      <c r="AF349" t="s">
        <v>38</v>
      </c>
      <c r="AG349" s="11">
        <f t="shared" si="31"/>
        <v>0</v>
      </c>
      <c r="AH349" t="s">
        <v>127</v>
      </c>
    </row>
    <row r="350" spans="7:34" x14ac:dyDescent="0.2">
      <c r="G350" t="s">
        <v>39</v>
      </c>
      <c r="H350" t="s">
        <v>4</v>
      </c>
      <c r="I350">
        <f>SUMIFS('CompilationCalcs - EPA EOL'!$G$4:$G$264,'CompilationCalcs - EPA EOL'!$F$4:$F$264,dataforsankey!$H350,'CompilationCalcs - EPA EOL'!$A$4:$A$264,dataforsankey!$J350,'CompilationCalcs - EPA EOL'!$B$4:$B$264,dataforsankey!$G350)</f>
        <v>0</v>
      </c>
      <c r="J350" t="s">
        <v>122</v>
      </c>
      <c r="M350" t="s">
        <v>872</v>
      </c>
      <c r="N350" t="s">
        <v>103</v>
      </c>
      <c r="O350">
        <f>INDEX(PlasticsDataCompilation!$D$20:$D$36,MATCH(dataforsankey!$P350,PlasticsDataCompilation!$A$20:$A$36,0),1)*INDEX(PlasticsUse!$B$27:$L$43,MATCH(dataforsankey!$P350,PlasticsUse!$A$27:$A$43,0),MATCH($N350,PlasticsUse!$B$26:$L$26,0))</f>
        <v>0</v>
      </c>
      <c r="P350" t="s">
        <v>122</v>
      </c>
      <c r="S350" t="s">
        <v>330</v>
      </c>
      <c r="T350" t="s">
        <v>6</v>
      </c>
      <c r="U350" s="11">
        <f t="shared" si="32"/>
        <v>1.4257842613476546</v>
      </c>
      <c r="V350" t="s">
        <v>127</v>
      </c>
      <c r="Y350" t="s">
        <v>891</v>
      </c>
      <c r="Z350" t="s">
        <v>99</v>
      </c>
      <c r="AA350" s="11">
        <f t="shared" si="30"/>
        <v>0</v>
      </c>
      <c r="AB350" t="s">
        <v>127</v>
      </c>
      <c r="AE350" t="s">
        <v>891</v>
      </c>
      <c r="AF350" t="s">
        <v>99</v>
      </c>
      <c r="AG350" s="11">
        <f t="shared" si="31"/>
        <v>0</v>
      </c>
      <c r="AH350" t="s">
        <v>127</v>
      </c>
    </row>
    <row r="351" spans="7:34" x14ac:dyDescent="0.2">
      <c r="G351" t="s">
        <v>39</v>
      </c>
      <c r="H351" t="s">
        <v>4</v>
      </c>
      <c r="I351">
        <f>SUMIFS('CompilationCalcs - EPA EOL'!$G$4:$G$264,'CompilationCalcs - EPA EOL'!$F$4:$F$264,dataforsankey!$H351,'CompilationCalcs - EPA EOL'!$A$4:$A$264,dataforsankey!$J351,'CompilationCalcs - EPA EOL'!$B$4:$B$264,dataforsankey!$G351)</f>
        <v>9.1733869301549878E-2</v>
      </c>
      <c r="J351" t="s">
        <v>82</v>
      </c>
      <c r="M351" t="s">
        <v>872</v>
      </c>
      <c r="N351" t="s">
        <v>86</v>
      </c>
      <c r="O351">
        <f>INDEX(PlasticsDataCompilation!$D$20:$D$36,MATCH(dataforsankey!$P351,PlasticsDataCompilation!$A$20:$A$36,0),1)*INDEX(PlasticsUse!$B$27:$L$43,MATCH(dataforsankey!$P351,PlasticsUse!$A$27:$A$43,0),MATCH($N351,PlasticsUse!$B$26:$L$26,0))</f>
        <v>0.10483072062519065</v>
      </c>
      <c r="P351" t="s">
        <v>122</v>
      </c>
      <c r="S351" t="s">
        <v>330</v>
      </c>
      <c r="T351" t="s">
        <v>5</v>
      </c>
      <c r="U351" s="11">
        <f t="shared" si="32"/>
        <v>0.15962889737036981</v>
      </c>
      <c r="V351" t="s">
        <v>127</v>
      </c>
      <c r="Y351" t="s">
        <v>891</v>
      </c>
      <c r="Z351" t="s">
        <v>69</v>
      </c>
      <c r="AA351" s="11">
        <f t="shared" si="30"/>
        <v>0</v>
      </c>
      <c r="AB351" t="s">
        <v>127</v>
      </c>
      <c r="AE351" t="s">
        <v>891</v>
      </c>
      <c r="AF351" t="s">
        <v>69</v>
      </c>
      <c r="AG351" s="11">
        <f t="shared" si="31"/>
        <v>0</v>
      </c>
      <c r="AH351" t="s">
        <v>127</v>
      </c>
    </row>
    <row r="352" spans="7:34" x14ac:dyDescent="0.2">
      <c r="G352" t="s">
        <v>39</v>
      </c>
      <c r="H352" t="s">
        <v>5</v>
      </c>
      <c r="I352">
        <f>SUMIFS('CompilationCalcs - EPA EOL'!$G$4:$G$264,'CompilationCalcs - EPA EOL'!$F$4:$F$264,dataforsankey!$H352,'CompilationCalcs - EPA EOL'!$A$4:$A$264,dataforsankey!$J352,'CompilationCalcs - EPA EOL'!$B$4:$B$264,dataforsankey!$G352)</f>
        <v>0</v>
      </c>
      <c r="J352" t="s">
        <v>0</v>
      </c>
      <c r="M352" t="s">
        <v>872</v>
      </c>
      <c r="N352" t="s">
        <v>18</v>
      </c>
      <c r="O352">
        <f>INDEX(PlasticsDataCompilation!$D$20:$D$36,MATCH(dataforsankey!$P352,PlasticsDataCompilation!$A$20:$A$36,0),1)*INDEX(PlasticsUse!$B$27:$L$43,MATCH(dataforsankey!$P352,PlasticsUse!$A$27:$A$43,0),MATCH($N352,PlasticsUse!$B$26:$L$26,0))</f>
        <v>0</v>
      </c>
      <c r="P352" t="s">
        <v>122</v>
      </c>
      <c r="S352" t="s">
        <v>330</v>
      </c>
      <c r="T352" t="s">
        <v>358</v>
      </c>
      <c r="U352" s="11">
        <f t="shared" si="32"/>
        <v>0</v>
      </c>
      <c r="V352" t="s">
        <v>127</v>
      </c>
      <c r="Y352" t="s">
        <v>891</v>
      </c>
      <c r="Z352" t="s">
        <v>100</v>
      </c>
      <c r="AA352" s="11">
        <f t="shared" si="30"/>
        <v>0</v>
      </c>
      <c r="AB352" t="s">
        <v>127</v>
      </c>
      <c r="AE352" t="s">
        <v>891</v>
      </c>
      <c r="AF352" t="s">
        <v>100</v>
      </c>
      <c r="AG352" s="11">
        <f t="shared" si="31"/>
        <v>0</v>
      </c>
      <c r="AH352" t="s">
        <v>127</v>
      </c>
    </row>
    <row r="353" spans="7:34" x14ac:dyDescent="0.2">
      <c r="G353" t="s">
        <v>39</v>
      </c>
      <c r="H353" t="s">
        <v>5</v>
      </c>
      <c r="I353">
        <f>SUMIFS('CompilationCalcs - EPA EOL'!$G$4:$G$264,'CompilationCalcs - EPA EOL'!$F$4:$F$264,dataforsankey!$H353,'CompilationCalcs - EPA EOL'!$A$4:$A$264,dataforsankey!$J353,'CompilationCalcs - EPA EOL'!$B$4:$B$264,dataforsankey!$G353)</f>
        <v>0.32040000000000002</v>
      </c>
      <c r="J353" t="s">
        <v>2</v>
      </c>
      <c r="M353" t="s">
        <v>872</v>
      </c>
      <c r="N353" t="s">
        <v>38</v>
      </c>
      <c r="O353">
        <f>INDEX(PlasticsDataCompilation!$D$20:$D$36,MATCH(dataforsankey!$P353,PlasticsDataCompilation!$A$20:$A$36,0),1)*INDEX(PlasticsUse!$B$27:$L$43,MATCH(dataforsankey!$P353,PlasticsUse!$A$27:$A$43,0),MATCH($N353,PlasticsUse!$B$26:$L$26,0))</f>
        <v>1.9120311854792973E-2</v>
      </c>
      <c r="P353" t="s">
        <v>32</v>
      </c>
      <c r="S353" t="s">
        <v>335</v>
      </c>
      <c r="T353" t="s">
        <v>191</v>
      </c>
      <c r="U353" s="11">
        <f t="shared" si="32"/>
        <v>0</v>
      </c>
      <c r="V353" t="s">
        <v>127</v>
      </c>
      <c r="Y353" t="s">
        <v>891</v>
      </c>
      <c r="Z353" t="s">
        <v>39</v>
      </c>
      <c r="AA353" s="11">
        <f t="shared" si="30"/>
        <v>0</v>
      </c>
      <c r="AB353" t="s">
        <v>127</v>
      </c>
      <c r="AE353" t="s">
        <v>891</v>
      </c>
      <c r="AF353" t="s">
        <v>39</v>
      </c>
      <c r="AG353" s="11">
        <f t="shared" si="31"/>
        <v>0</v>
      </c>
      <c r="AH353" t="s">
        <v>127</v>
      </c>
    </row>
    <row r="354" spans="7:34" x14ac:dyDescent="0.2">
      <c r="G354" t="s">
        <v>39</v>
      </c>
      <c r="H354" t="s">
        <v>5</v>
      </c>
      <c r="I354">
        <f>SUMIFS('CompilationCalcs - EPA EOL'!$G$4:$G$264,'CompilationCalcs - EPA EOL'!$F$4:$F$264,dataforsankey!$H354,'CompilationCalcs - EPA EOL'!$A$4:$A$264,dataforsankey!$J354,'CompilationCalcs - EPA EOL'!$B$4:$B$264,dataforsankey!$G354)</f>
        <v>8.2643125496891789E-3</v>
      </c>
      <c r="J354" t="s">
        <v>1</v>
      </c>
      <c r="M354" t="s">
        <v>872</v>
      </c>
      <c r="N354" t="s">
        <v>99</v>
      </c>
      <c r="O354">
        <f>INDEX(PlasticsDataCompilation!$D$20:$D$36,MATCH(dataforsankey!$P354,PlasticsDataCompilation!$A$20:$A$36,0),1)*INDEX(PlasticsUse!$B$27:$L$43,MATCH(dataforsankey!$P354,PlasticsUse!$A$27:$A$43,0),MATCH($N354,PlasticsUse!$B$26:$L$26,0))</f>
        <v>0</v>
      </c>
      <c r="P354" t="s">
        <v>32</v>
      </c>
      <c r="S354" t="s">
        <v>335</v>
      </c>
      <c r="T354" t="s">
        <v>333</v>
      </c>
      <c r="U354" s="11">
        <f t="shared" si="32"/>
        <v>0</v>
      </c>
      <c r="V354" t="s">
        <v>127</v>
      </c>
      <c r="Y354" t="s">
        <v>891</v>
      </c>
      <c r="Z354" t="s">
        <v>68</v>
      </c>
      <c r="AA354" s="11">
        <f t="shared" si="30"/>
        <v>0</v>
      </c>
      <c r="AB354" t="s">
        <v>127</v>
      </c>
      <c r="AE354" t="s">
        <v>891</v>
      </c>
      <c r="AF354" t="s">
        <v>68</v>
      </c>
      <c r="AG354" s="11">
        <f t="shared" si="31"/>
        <v>0</v>
      </c>
      <c r="AH354" t="s">
        <v>127</v>
      </c>
    </row>
    <row r="355" spans="7:34" x14ac:dyDescent="0.2">
      <c r="G355" t="s">
        <v>39</v>
      </c>
      <c r="H355" t="s">
        <v>5</v>
      </c>
      <c r="I355">
        <f>SUMIFS('CompilationCalcs - EPA EOL'!$G$4:$G$264,'CompilationCalcs - EPA EOL'!$F$4:$F$264,dataforsankey!$H355,'CompilationCalcs - EPA EOL'!$A$4:$A$264,dataforsankey!$J355,'CompilationCalcs - EPA EOL'!$B$4:$B$264,dataforsankey!$G355)</f>
        <v>0</v>
      </c>
      <c r="J355" t="s">
        <v>7</v>
      </c>
      <c r="M355" t="s">
        <v>872</v>
      </c>
      <c r="N355" t="s">
        <v>69</v>
      </c>
      <c r="O355">
        <f>INDEX(PlasticsDataCompilation!$D$20:$D$36,MATCH(dataforsankey!$P355,PlasticsDataCompilation!$A$20:$A$36,0),1)*INDEX(PlasticsUse!$B$27:$L$43,MATCH(dataforsankey!$P355,PlasticsUse!$A$27:$A$43,0),MATCH($N355,PlasticsUse!$B$26:$L$26,0))</f>
        <v>1.9120311854792973E-2</v>
      </c>
      <c r="P355" t="s">
        <v>32</v>
      </c>
      <c r="S355" t="s">
        <v>335</v>
      </c>
      <c r="T355" t="s">
        <v>6</v>
      </c>
      <c r="U355" s="11">
        <f t="shared" si="32"/>
        <v>0</v>
      </c>
      <c r="V355" t="s">
        <v>127</v>
      </c>
      <c r="Y355" t="s">
        <v>891</v>
      </c>
      <c r="Z355" t="s">
        <v>63</v>
      </c>
      <c r="AA355" s="11">
        <f t="shared" si="30"/>
        <v>0</v>
      </c>
      <c r="AB355" t="s">
        <v>127</v>
      </c>
      <c r="AE355" t="s">
        <v>891</v>
      </c>
      <c r="AF355" t="s">
        <v>63</v>
      </c>
      <c r="AG355" s="11">
        <f t="shared" si="31"/>
        <v>0</v>
      </c>
      <c r="AH355" t="s">
        <v>127</v>
      </c>
    </row>
    <row r="356" spans="7:34" x14ac:dyDescent="0.2">
      <c r="G356" t="s">
        <v>39</v>
      </c>
      <c r="H356" t="s">
        <v>5</v>
      </c>
      <c r="I356">
        <f>SUMIFS('CompilationCalcs - EPA EOL'!$G$4:$G$264,'CompilationCalcs - EPA EOL'!$F$4:$F$264,dataforsankey!$H356,'CompilationCalcs - EPA EOL'!$A$4:$A$264,dataforsankey!$J356,'CompilationCalcs - EPA EOL'!$B$4:$B$264,dataforsankey!$G356)</f>
        <v>0</v>
      </c>
      <c r="J356" t="s">
        <v>8</v>
      </c>
      <c r="M356" t="s">
        <v>872</v>
      </c>
      <c r="N356" t="s">
        <v>100</v>
      </c>
      <c r="O356">
        <f>INDEX(PlasticsDataCompilation!$D$20:$D$36,MATCH(dataforsankey!$P356,PlasticsDataCompilation!$A$20:$A$36,0),1)*INDEX(PlasticsUse!$B$27:$L$43,MATCH(dataforsankey!$P356,PlasticsUse!$A$27:$A$43,0),MATCH($N356,PlasticsUse!$B$26:$L$26,0))</f>
        <v>0</v>
      </c>
      <c r="P356" t="s">
        <v>32</v>
      </c>
      <c r="S356" t="s">
        <v>335</v>
      </c>
      <c r="T356" t="s">
        <v>5</v>
      </c>
      <c r="U356" s="11">
        <f t="shared" si="32"/>
        <v>0</v>
      </c>
      <c r="V356" t="s">
        <v>127</v>
      </c>
      <c r="Y356" t="s">
        <v>891</v>
      </c>
      <c r="Z356" t="s">
        <v>92</v>
      </c>
      <c r="AA356" s="11">
        <f t="shared" si="30"/>
        <v>0</v>
      </c>
      <c r="AB356" t="s">
        <v>127</v>
      </c>
      <c r="AE356" t="s">
        <v>891</v>
      </c>
      <c r="AF356" t="s">
        <v>92</v>
      </c>
      <c r="AG356" s="11">
        <f t="shared" si="31"/>
        <v>0</v>
      </c>
      <c r="AH356" t="s">
        <v>127</v>
      </c>
    </row>
    <row r="357" spans="7:34" x14ac:dyDescent="0.2">
      <c r="G357" t="s">
        <v>39</v>
      </c>
      <c r="H357" t="s">
        <v>5</v>
      </c>
      <c r="I357">
        <f>SUMIFS('CompilationCalcs - EPA EOL'!$G$4:$G$264,'CompilationCalcs - EPA EOL'!$F$4:$F$264,dataforsankey!$H357,'CompilationCalcs - EPA EOL'!$A$4:$A$264,dataforsankey!$J357,'CompilationCalcs - EPA EOL'!$B$4:$B$264,dataforsankey!$G357)</f>
        <v>0</v>
      </c>
      <c r="J357" t="s">
        <v>9</v>
      </c>
      <c r="M357" t="s">
        <v>872</v>
      </c>
      <c r="N357" t="s">
        <v>39</v>
      </c>
      <c r="O357">
        <f>INDEX(PlasticsDataCompilation!$D$20:$D$36,MATCH(dataforsankey!$P357,PlasticsDataCompilation!$A$20:$A$36,0),1)*INDEX(PlasticsUse!$B$27:$L$43,MATCH(dataforsankey!$P357,PlasticsUse!$A$27:$A$43,0),MATCH($N357,PlasticsUse!$B$26:$L$26,0))</f>
        <v>4.7800779636982434E-3</v>
      </c>
      <c r="P357" t="s">
        <v>32</v>
      </c>
      <c r="S357" t="s">
        <v>335</v>
      </c>
      <c r="T357" t="s">
        <v>358</v>
      </c>
      <c r="U357" s="11">
        <f t="shared" si="32"/>
        <v>0</v>
      </c>
      <c r="V357" t="s">
        <v>127</v>
      </c>
      <c r="Y357" t="s">
        <v>891</v>
      </c>
      <c r="Z357" t="s">
        <v>103</v>
      </c>
      <c r="AA357" s="11">
        <f t="shared" si="30"/>
        <v>0</v>
      </c>
      <c r="AB357" t="s">
        <v>127</v>
      </c>
      <c r="AE357" t="s">
        <v>891</v>
      </c>
      <c r="AF357" t="s">
        <v>103</v>
      </c>
      <c r="AG357" s="11">
        <f t="shared" si="31"/>
        <v>0</v>
      </c>
      <c r="AH357" t="s">
        <v>127</v>
      </c>
    </row>
    <row r="358" spans="7:34" x14ac:dyDescent="0.2">
      <c r="G358" t="s">
        <v>39</v>
      </c>
      <c r="H358" t="s">
        <v>5</v>
      </c>
      <c r="I358">
        <f>SUMIFS('CompilationCalcs - EPA EOL'!$G$4:$G$264,'CompilationCalcs - EPA EOL'!$F$4:$F$264,dataforsankey!$H358,'CompilationCalcs - EPA EOL'!$A$4:$A$264,dataforsankey!$J358,'CompilationCalcs - EPA EOL'!$B$4:$B$264,dataforsankey!$G358)</f>
        <v>0</v>
      </c>
      <c r="J358" t="s">
        <v>10</v>
      </c>
      <c r="M358" t="s">
        <v>872</v>
      </c>
      <c r="N358" t="s">
        <v>68</v>
      </c>
      <c r="O358">
        <f>INDEX(PlasticsDataCompilation!$D$20:$D$36,MATCH(dataforsankey!$P358,PlasticsDataCompilation!$A$20:$A$36,0),1)*INDEX(PlasticsUse!$B$27:$L$43,MATCH(dataforsankey!$P358,PlasticsUse!$A$27:$A$43,0),MATCH($N358,PlasticsUse!$B$26:$L$26,0))</f>
        <v>2.3900389818491213E-2</v>
      </c>
      <c r="P358" t="s">
        <v>32</v>
      </c>
      <c r="S358" t="s">
        <v>330</v>
      </c>
      <c r="T358" t="s">
        <v>191</v>
      </c>
      <c r="U358" s="11">
        <f t="shared" si="32"/>
        <v>0</v>
      </c>
      <c r="V358" t="s">
        <v>8</v>
      </c>
      <c r="Y358" t="s">
        <v>891</v>
      </c>
      <c r="Z358" t="s">
        <v>86</v>
      </c>
      <c r="AA358" s="11">
        <f t="shared" si="30"/>
        <v>0</v>
      </c>
      <c r="AB358" t="s">
        <v>127</v>
      </c>
      <c r="AE358" t="s">
        <v>891</v>
      </c>
      <c r="AF358" t="s">
        <v>86</v>
      </c>
      <c r="AG358" s="11">
        <f t="shared" si="31"/>
        <v>0</v>
      </c>
      <c r="AH358" t="s">
        <v>127</v>
      </c>
    </row>
    <row r="359" spans="7:34" x14ac:dyDescent="0.2">
      <c r="G359" t="s">
        <v>39</v>
      </c>
      <c r="H359" t="s">
        <v>5</v>
      </c>
      <c r="I359">
        <f>SUMIFS('CompilationCalcs - EPA EOL'!$G$4:$G$264,'CompilationCalcs - EPA EOL'!$F$4:$F$264,dataforsankey!$H359,'CompilationCalcs - EPA EOL'!$A$4:$A$264,dataforsankey!$J359,'CompilationCalcs - EPA EOL'!$B$4:$B$264,dataforsankey!$G359)</f>
        <v>0</v>
      </c>
      <c r="J359" t="s">
        <v>11</v>
      </c>
      <c r="M359" t="s">
        <v>872</v>
      </c>
      <c r="N359" t="s">
        <v>63</v>
      </c>
      <c r="O359">
        <f>INDEX(PlasticsDataCompilation!$D$20:$D$36,MATCH(dataforsankey!$P359,PlasticsDataCompilation!$A$20:$A$36,0),1)*INDEX(PlasticsUse!$B$27:$L$43,MATCH(dataforsankey!$P359,PlasticsUse!$A$27:$A$43,0),MATCH($N359,PlasticsUse!$B$26:$L$26,0))</f>
        <v>4.7800779636982434E-3</v>
      </c>
      <c r="P359" t="s">
        <v>32</v>
      </c>
      <c r="S359" t="s">
        <v>330</v>
      </c>
      <c r="T359" t="s">
        <v>333</v>
      </c>
      <c r="U359" s="11">
        <f t="shared" si="32"/>
        <v>6.1612931827464835E-2</v>
      </c>
      <c r="V359" t="s">
        <v>8</v>
      </c>
      <c r="Y359" t="s">
        <v>891</v>
      </c>
      <c r="Z359" t="s">
        <v>18</v>
      </c>
      <c r="AA359" s="11">
        <f t="shared" si="30"/>
        <v>0</v>
      </c>
      <c r="AB359" t="s">
        <v>127</v>
      </c>
      <c r="AE359" t="s">
        <v>891</v>
      </c>
      <c r="AF359" t="s">
        <v>18</v>
      </c>
      <c r="AG359" s="11">
        <f t="shared" si="31"/>
        <v>0</v>
      </c>
      <c r="AH359" t="s">
        <v>127</v>
      </c>
    </row>
    <row r="360" spans="7:34" x14ac:dyDescent="0.2">
      <c r="G360" t="s">
        <v>39</v>
      </c>
      <c r="H360" t="s">
        <v>5</v>
      </c>
      <c r="I360">
        <f>SUMIFS('CompilationCalcs - EPA EOL'!$G$4:$G$264,'CompilationCalcs - EPA EOL'!$F$4:$F$264,dataforsankey!$H360,'CompilationCalcs - EPA EOL'!$A$4:$A$264,dataforsankey!$J360,'CompilationCalcs - EPA EOL'!$B$4:$B$264,dataforsankey!$G360)</f>
        <v>0</v>
      </c>
      <c r="J360" t="s">
        <v>127</v>
      </c>
      <c r="M360" t="s">
        <v>872</v>
      </c>
      <c r="N360" t="s">
        <v>92</v>
      </c>
      <c r="O360">
        <f>INDEX(PlasticsDataCompilation!$D$20:$D$36,MATCH(dataforsankey!$P360,PlasticsDataCompilation!$A$20:$A$36,0),1)*INDEX(PlasticsUse!$B$27:$L$43,MATCH(dataforsankey!$P360,PlasticsUse!$A$27:$A$43,0),MATCH($N360,PlasticsUse!$B$26:$L$26,0))</f>
        <v>0</v>
      </c>
      <c r="P360" t="s">
        <v>32</v>
      </c>
      <c r="S360" t="s">
        <v>330</v>
      </c>
      <c r="T360" t="s">
        <v>6</v>
      </c>
      <c r="U360" s="11">
        <f t="shared" si="32"/>
        <v>1.2909573077811025</v>
      </c>
      <c r="V360" t="s">
        <v>8</v>
      </c>
      <c r="Y360" t="s">
        <v>891</v>
      </c>
      <c r="Z360" t="s">
        <v>38</v>
      </c>
      <c r="AA360" s="11">
        <f t="shared" si="30"/>
        <v>0</v>
      </c>
      <c r="AB360" t="s">
        <v>8</v>
      </c>
      <c r="AE360" t="s">
        <v>891</v>
      </c>
      <c r="AF360" t="s">
        <v>38</v>
      </c>
      <c r="AG360" s="11">
        <f t="shared" si="31"/>
        <v>0</v>
      </c>
      <c r="AH360" t="s">
        <v>8</v>
      </c>
    </row>
    <row r="361" spans="7:34" x14ac:dyDescent="0.2">
      <c r="G361" t="s">
        <v>39</v>
      </c>
      <c r="H361" t="s">
        <v>5</v>
      </c>
      <c r="I361">
        <f>SUMIFS('CompilationCalcs - EPA EOL'!$G$4:$G$264,'CompilationCalcs - EPA EOL'!$F$4:$F$264,dataforsankey!$H361,'CompilationCalcs - EPA EOL'!$A$4:$A$264,dataforsankey!$J361,'CompilationCalcs - EPA EOL'!$B$4:$B$264,dataforsankey!$G361)</f>
        <v>0</v>
      </c>
      <c r="J361" t="s">
        <v>122</v>
      </c>
      <c r="M361" t="s">
        <v>872</v>
      </c>
      <c r="N361" t="s">
        <v>103</v>
      </c>
      <c r="O361">
        <f>INDEX(PlasticsDataCompilation!$D$20:$D$36,MATCH(dataforsankey!$P361,PlasticsDataCompilation!$A$20:$A$36,0),1)*INDEX(PlasticsUse!$B$27:$L$43,MATCH(dataforsankey!$P361,PlasticsUse!$A$27:$A$43,0),MATCH($N361,PlasticsUse!$B$26:$L$26,0))</f>
        <v>0</v>
      </c>
      <c r="P361" t="s">
        <v>32</v>
      </c>
      <c r="S361" t="s">
        <v>330</v>
      </c>
      <c r="T361" t="s">
        <v>5</v>
      </c>
      <c r="U361" s="11">
        <f t="shared" si="32"/>
        <v>0.2817052549545585</v>
      </c>
      <c r="V361" t="s">
        <v>8</v>
      </c>
      <c r="Y361" t="s">
        <v>891</v>
      </c>
      <c r="Z361" t="s">
        <v>99</v>
      </c>
      <c r="AA361" s="11">
        <f t="shared" si="30"/>
        <v>2.8605911705152989E-2</v>
      </c>
      <c r="AB361" t="s">
        <v>8</v>
      </c>
      <c r="AE361" t="s">
        <v>891</v>
      </c>
      <c r="AF361" t="s">
        <v>99</v>
      </c>
      <c r="AG361" s="11">
        <f t="shared" si="31"/>
        <v>2.8605911705152989E-2</v>
      </c>
      <c r="AH361" t="s">
        <v>8</v>
      </c>
    </row>
    <row r="362" spans="7:34" x14ac:dyDescent="0.2">
      <c r="G362" t="s">
        <v>39</v>
      </c>
      <c r="H362" t="s">
        <v>5</v>
      </c>
      <c r="I362">
        <f>SUMIFS('CompilationCalcs - EPA EOL'!$G$4:$G$264,'CompilationCalcs - EPA EOL'!$F$4:$F$264,dataforsankey!$H362,'CompilationCalcs - EPA EOL'!$A$4:$A$264,dataforsankey!$J362,'CompilationCalcs - EPA EOL'!$B$4:$B$264,dataforsankey!$G362)</f>
        <v>0</v>
      </c>
      <c r="J362" t="s">
        <v>82</v>
      </c>
      <c r="M362" t="s">
        <v>872</v>
      </c>
      <c r="N362" t="s">
        <v>86</v>
      </c>
      <c r="O362">
        <f>INDEX(PlasticsDataCompilation!$D$20:$D$36,MATCH(dataforsankey!$P362,PlasticsDataCompilation!$A$20:$A$36,0),1)*INDEX(PlasticsUse!$B$27:$L$43,MATCH(dataforsankey!$P362,PlasticsUse!$A$27:$A$43,0),MATCH($N362,PlasticsUse!$B$26:$L$26,0))</f>
        <v>2.3900389818491213E-2</v>
      </c>
      <c r="P362" t="s">
        <v>32</v>
      </c>
      <c r="S362" t="s">
        <v>330</v>
      </c>
      <c r="T362" t="s">
        <v>358</v>
      </c>
      <c r="U362" s="11">
        <f t="shared" si="32"/>
        <v>0</v>
      </c>
      <c r="V362" t="s">
        <v>8</v>
      </c>
      <c r="Y362" t="s">
        <v>891</v>
      </c>
      <c r="Z362" t="s">
        <v>69</v>
      </c>
      <c r="AA362" s="11">
        <f t="shared" si="30"/>
        <v>5.9432378750283531E-2</v>
      </c>
      <c r="AB362" t="s">
        <v>8</v>
      </c>
      <c r="AE362" t="s">
        <v>891</v>
      </c>
      <c r="AF362" t="s">
        <v>69</v>
      </c>
      <c r="AG362" s="11">
        <f t="shared" si="31"/>
        <v>5.9432378750283531E-2</v>
      </c>
      <c r="AH362" t="s">
        <v>8</v>
      </c>
    </row>
    <row r="363" spans="7:34" x14ac:dyDescent="0.2">
      <c r="G363" t="s">
        <v>39</v>
      </c>
      <c r="H363" t="s">
        <v>6</v>
      </c>
      <c r="I363">
        <f>SUMIFS('CompilationCalcs - EPA EOL'!$G$4:$G$264,'CompilationCalcs - EPA EOL'!$F$4:$F$264,dataforsankey!$H363,'CompilationCalcs - EPA EOL'!$A$4:$A$264,dataforsankey!$J363,'CompilationCalcs - EPA EOL'!$B$4:$B$264,dataforsankey!$G363)</f>
        <v>0</v>
      </c>
      <c r="J363" t="s">
        <v>0</v>
      </c>
      <c r="M363" t="s">
        <v>872</v>
      </c>
      <c r="N363" t="s">
        <v>18</v>
      </c>
      <c r="O363">
        <f>INDEX(PlasticsDataCompilation!$D$20:$D$36,MATCH(dataforsankey!$P363,PlasticsDataCompilation!$A$20:$A$36,0),1)*INDEX(PlasticsUse!$B$27:$L$43,MATCH(dataforsankey!$P363,PlasticsUse!$A$27:$A$43,0),MATCH($N363,PlasticsUse!$B$26:$L$26,0))</f>
        <v>0</v>
      </c>
      <c r="P363" t="s">
        <v>32</v>
      </c>
      <c r="S363" t="s">
        <v>335</v>
      </c>
      <c r="T363" t="s">
        <v>191</v>
      </c>
      <c r="U363" s="11">
        <f t="shared" si="32"/>
        <v>0</v>
      </c>
      <c r="V363" t="s">
        <v>8</v>
      </c>
      <c r="Y363" t="s">
        <v>891</v>
      </c>
      <c r="Z363" t="s">
        <v>100</v>
      </c>
      <c r="AA363" s="11">
        <f t="shared" si="30"/>
        <v>0</v>
      </c>
      <c r="AB363" t="s">
        <v>8</v>
      </c>
      <c r="AE363" t="s">
        <v>891</v>
      </c>
      <c r="AF363" t="s">
        <v>100</v>
      </c>
      <c r="AG363" s="11">
        <f t="shared" si="31"/>
        <v>0</v>
      </c>
      <c r="AH363" t="s">
        <v>8</v>
      </c>
    </row>
    <row r="364" spans="7:34" x14ac:dyDescent="0.2">
      <c r="G364" t="s">
        <v>39</v>
      </c>
      <c r="H364" t="s">
        <v>6</v>
      </c>
      <c r="I364">
        <f>SUMIFS('CompilationCalcs - EPA EOL'!$G$4:$G$264,'CompilationCalcs - EPA EOL'!$F$4:$F$264,dataforsankey!$H364,'CompilationCalcs - EPA EOL'!$A$4:$A$264,dataforsankey!$J364,'CompilationCalcs - EPA EOL'!$B$4:$B$264,dataforsankey!$G364)</f>
        <v>1.296163636363636</v>
      </c>
      <c r="J364" t="s">
        <v>2</v>
      </c>
      <c r="M364" t="s">
        <v>872</v>
      </c>
      <c r="N364" t="s">
        <v>38</v>
      </c>
      <c r="O364">
        <f>INDEX(PlasticsDataCompilation!$D$20:$D$36,MATCH(dataforsankey!$P364,PlasticsDataCompilation!$A$20:$A$36,0),1)*INDEX(PlasticsUse!$B$27:$L$43,MATCH(dataforsankey!$P364,PlasticsUse!$A$27:$A$43,0),MATCH($N364,PlasticsUse!$B$26:$L$26,0))</f>
        <v>0</v>
      </c>
      <c r="P364" t="s">
        <v>105</v>
      </c>
      <c r="S364" t="s">
        <v>335</v>
      </c>
      <c r="T364" t="s">
        <v>333</v>
      </c>
      <c r="U364" s="11">
        <f t="shared" si="32"/>
        <v>0</v>
      </c>
      <c r="V364" t="s">
        <v>8</v>
      </c>
      <c r="Y364" t="s">
        <v>891</v>
      </c>
      <c r="Z364" t="s">
        <v>39</v>
      </c>
      <c r="AA364" s="11">
        <f t="shared" si="30"/>
        <v>4.6433292373061784E-2</v>
      </c>
      <c r="AB364" t="s">
        <v>8</v>
      </c>
      <c r="AE364" t="s">
        <v>891</v>
      </c>
      <c r="AF364" t="s">
        <v>39</v>
      </c>
      <c r="AG364" s="11">
        <f t="shared" si="31"/>
        <v>4.6433292373061784E-2</v>
      </c>
      <c r="AH364" t="s">
        <v>8</v>
      </c>
    </row>
    <row r="365" spans="7:34" x14ac:dyDescent="0.2">
      <c r="G365" t="s">
        <v>39</v>
      </c>
      <c r="H365" t="s">
        <v>6</v>
      </c>
      <c r="I365">
        <f>SUMIFS('CompilationCalcs - EPA EOL'!$G$4:$G$264,'CompilationCalcs - EPA EOL'!$F$4:$F$264,dataforsankey!$H365,'CompilationCalcs - EPA EOL'!$A$4:$A$264,dataforsankey!$J365,'CompilationCalcs - EPA EOL'!$B$4:$B$264,dataforsankey!$G365)</f>
        <v>3.5536543963663465E-2</v>
      </c>
      <c r="J365" t="s">
        <v>1</v>
      </c>
      <c r="M365" t="s">
        <v>872</v>
      </c>
      <c r="N365" t="s">
        <v>99</v>
      </c>
      <c r="O365">
        <f>INDEX(PlasticsDataCompilation!$D$20:$D$36,MATCH(dataforsankey!$P365,PlasticsDataCompilation!$A$20:$A$36,0),1)*INDEX(PlasticsUse!$B$27:$L$43,MATCH(dataforsankey!$P365,PlasticsUse!$A$27:$A$43,0),MATCH($N365,PlasticsUse!$B$26:$L$26,0))</f>
        <v>0</v>
      </c>
      <c r="P365" t="s">
        <v>105</v>
      </c>
      <c r="S365" t="s">
        <v>335</v>
      </c>
      <c r="T365" t="s">
        <v>6</v>
      </c>
      <c r="U365" s="11">
        <f t="shared" si="32"/>
        <v>0.12909314891513193</v>
      </c>
      <c r="V365" t="s">
        <v>8</v>
      </c>
      <c r="Y365" t="s">
        <v>891</v>
      </c>
      <c r="Z365" t="s">
        <v>68</v>
      </c>
      <c r="AA365" s="11">
        <f t="shared" si="30"/>
        <v>7.5895499454359902E-2</v>
      </c>
      <c r="AB365" t="s">
        <v>8</v>
      </c>
      <c r="AE365" t="s">
        <v>891</v>
      </c>
      <c r="AF365" t="s">
        <v>68</v>
      </c>
      <c r="AG365" s="11">
        <f t="shared" si="31"/>
        <v>7.5895499454359902E-2</v>
      </c>
      <c r="AH365" t="s">
        <v>8</v>
      </c>
    </row>
    <row r="366" spans="7:34" x14ac:dyDescent="0.2">
      <c r="G366" t="s">
        <v>39</v>
      </c>
      <c r="H366" t="s">
        <v>6</v>
      </c>
      <c r="I366">
        <f>SUMIFS('CompilationCalcs - EPA EOL'!$G$4:$G$264,'CompilationCalcs - EPA EOL'!$F$4:$F$264,dataforsankey!$H366,'CompilationCalcs - EPA EOL'!$A$4:$A$264,dataforsankey!$J366,'CompilationCalcs - EPA EOL'!$B$4:$B$264,dataforsankey!$G366)</f>
        <v>0</v>
      </c>
      <c r="J366" t="s">
        <v>7</v>
      </c>
      <c r="M366" t="s">
        <v>872</v>
      </c>
      <c r="N366" t="s">
        <v>69</v>
      </c>
      <c r="O366">
        <f>INDEX(PlasticsDataCompilation!$D$20:$D$36,MATCH(dataforsankey!$P366,PlasticsDataCompilation!$A$20:$A$36,0),1)*INDEX(PlasticsUse!$B$27:$L$43,MATCH(dataforsankey!$P366,PlasticsUse!$A$27:$A$43,0),MATCH($N366,PlasticsUse!$B$26:$L$26,0))</f>
        <v>0</v>
      </c>
      <c r="P366" t="s">
        <v>105</v>
      </c>
      <c r="S366" t="s">
        <v>335</v>
      </c>
      <c r="T366" t="s">
        <v>5</v>
      </c>
      <c r="U366" s="11">
        <f t="shared" si="32"/>
        <v>2.8169962096213925E-2</v>
      </c>
      <c r="V366" t="s">
        <v>8</v>
      </c>
      <c r="Y366" t="s">
        <v>891</v>
      </c>
      <c r="Z366" t="s">
        <v>63</v>
      </c>
      <c r="AA366" s="11">
        <f t="shared" si="30"/>
        <v>2.8476796828855868E-2</v>
      </c>
      <c r="AB366" t="s">
        <v>8</v>
      </c>
      <c r="AE366" t="s">
        <v>891</v>
      </c>
      <c r="AF366" t="s">
        <v>63</v>
      </c>
      <c r="AG366" s="11">
        <f t="shared" si="31"/>
        <v>2.8476796828855868E-2</v>
      </c>
      <c r="AH366" t="s">
        <v>8</v>
      </c>
    </row>
    <row r="367" spans="7:34" x14ac:dyDescent="0.2">
      <c r="G367" t="s">
        <v>39</v>
      </c>
      <c r="H367" t="s">
        <v>6</v>
      </c>
      <c r="I367">
        <f>SUMIFS('CompilationCalcs - EPA EOL'!$G$4:$G$264,'CompilationCalcs - EPA EOL'!$F$4:$F$264,dataforsankey!$H367,'CompilationCalcs - EPA EOL'!$A$4:$A$264,dataforsankey!$J367,'CompilationCalcs - EPA EOL'!$B$4:$B$264,dataforsankey!$G367)</f>
        <v>0</v>
      </c>
      <c r="J367" t="s">
        <v>8</v>
      </c>
      <c r="M367" t="s">
        <v>872</v>
      </c>
      <c r="N367" t="s">
        <v>100</v>
      </c>
      <c r="O367">
        <f>INDEX(PlasticsDataCompilation!$D$20:$D$36,MATCH(dataforsankey!$P367,PlasticsDataCompilation!$A$20:$A$36,0),1)*INDEX(PlasticsUse!$B$27:$L$43,MATCH(dataforsankey!$P367,PlasticsUse!$A$27:$A$43,0),MATCH($N367,PlasticsUse!$B$26:$L$26,0))</f>
        <v>0</v>
      </c>
      <c r="P367" t="s">
        <v>105</v>
      </c>
      <c r="S367" t="s">
        <v>335</v>
      </c>
      <c r="T367" t="s">
        <v>358</v>
      </c>
      <c r="U367" s="11">
        <f t="shared" si="32"/>
        <v>0</v>
      </c>
      <c r="V367" t="s">
        <v>8</v>
      </c>
      <c r="Y367" t="s">
        <v>891</v>
      </c>
      <c r="Z367" t="s">
        <v>92</v>
      </c>
      <c r="AA367" s="11">
        <f t="shared" si="30"/>
        <v>0</v>
      </c>
      <c r="AB367" t="s">
        <v>8</v>
      </c>
      <c r="AE367" t="s">
        <v>891</v>
      </c>
      <c r="AF367" t="s">
        <v>92</v>
      </c>
      <c r="AG367" s="11">
        <f t="shared" si="31"/>
        <v>0</v>
      </c>
      <c r="AH367" t="s">
        <v>8</v>
      </c>
    </row>
    <row r="368" spans="7:34" x14ac:dyDescent="0.2">
      <c r="G368" t="s">
        <v>39</v>
      </c>
      <c r="H368" t="s">
        <v>6</v>
      </c>
      <c r="I368">
        <f>SUMIFS('CompilationCalcs - EPA EOL'!$G$4:$G$264,'CompilationCalcs - EPA EOL'!$F$4:$F$264,dataforsankey!$H368,'CompilationCalcs - EPA EOL'!$A$4:$A$264,dataforsankey!$J368,'CompilationCalcs - EPA EOL'!$B$4:$B$264,dataforsankey!$G368)</f>
        <v>0</v>
      </c>
      <c r="J368" t="s">
        <v>9</v>
      </c>
      <c r="M368" t="s">
        <v>872</v>
      </c>
      <c r="N368" t="s">
        <v>39</v>
      </c>
      <c r="O368">
        <f>INDEX(PlasticsDataCompilation!$D$20:$D$36,MATCH(dataforsankey!$P368,PlasticsDataCompilation!$A$20:$A$36,0),1)*INDEX(PlasticsUse!$B$27:$L$43,MATCH(dataforsankey!$P368,PlasticsUse!$A$27:$A$43,0),MATCH($N368,PlasticsUse!$B$26:$L$26,0))</f>
        <v>0</v>
      </c>
      <c r="P368" t="s">
        <v>105</v>
      </c>
      <c r="S368" t="s">
        <v>330</v>
      </c>
      <c r="T368" t="s">
        <v>191</v>
      </c>
      <c r="U368" s="11">
        <f t="shared" si="32"/>
        <v>0</v>
      </c>
      <c r="V368" t="s">
        <v>19</v>
      </c>
      <c r="Y368" t="s">
        <v>891</v>
      </c>
      <c r="Z368" t="s">
        <v>103</v>
      </c>
      <c r="AA368" s="11">
        <f t="shared" si="30"/>
        <v>0</v>
      </c>
      <c r="AB368" t="s">
        <v>8</v>
      </c>
      <c r="AE368" t="s">
        <v>891</v>
      </c>
      <c r="AF368" t="s">
        <v>103</v>
      </c>
      <c r="AG368" s="11">
        <f t="shared" si="31"/>
        <v>0</v>
      </c>
      <c r="AH368" t="s">
        <v>8</v>
      </c>
    </row>
    <row r="369" spans="7:34" x14ac:dyDescent="0.2">
      <c r="G369" t="s">
        <v>39</v>
      </c>
      <c r="H369" t="s">
        <v>6</v>
      </c>
      <c r="I369">
        <f>SUMIFS('CompilationCalcs - EPA EOL'!$G$4:$G$264,'CompilationCalcs - EPA EOL'!$F$4:$F$264,dataforsankey!$H369,'CompilationCalcs - EPA EOL'!$A$4:$A$264,dataforsankey!$J369,'CompilationCalcs - EPA EOL'!$B$4:$B$264,dataforsankey!$G369)</f>
        <v>0</v>
      </c>
      <c r="J369" t="s">
        <v>10</v>
      </c>
      <c r="M369" t="s">
        <v>872</v>
      </c>
      <c r="N369" t="s">
        <v>68</v>
      </c>
      <c r="O369">
        <f>INDEX(PlasticsDataCompilation!$D$20:$D$36,MATCH(dataforsankey!$P369,PlasticsDataCompilation!$A$20:$A$36,0),1)*INDEX(PlasticsUse!$B$27:$L$43,MATCH(dataforsankey!$P369,PlasticsUse!$A$27:$A$43,0),MATCH($N369,PlasticsUse!$B$26:$L$26,0))</f>
        <v>0</v>
      </c>
      <c r="P369" t="s">
        <v>105</v>
      </c>
      <c r="S369" t="s">
        <v>330</v>
      </c>
      <c r="T369" t="s">
        <v>333</v>
      </c>
      <c r="U369" s="11">
        <f t="shared" si="32"/>
        <v>5.346278497139402E-2</v>
      </c>
      <c r="V369" t="s">
        <v>19</v>
      </c>
      <c r="Y369" t="s">
        <v>891</v>
      </c>
      <c r="Z369" t="s">
        <v>86</v>
      </c>
      <c r="AA369" s="11">
        <f t="shared" si="30"/>
        <v>0</v>
      </c>
      <c r="AB369" t="s">
        <v>8</v>
      </c>
      <c r="AE369" t="s">
        <v>891</v>
      </c>
      <c r="AF369" t="s">
        <v>86</v>
      </c>
      <c r="AG369" s="11">
        <f t="shared" si="31"/>
        <v>0</v>
      </c>
      <c r="AH369" t="s">
        <v>8</v>
      </c>
    </row>
    <row r="370" spans="7:34" x14ac:dyDescent="0.2">
      <c r="G370" t="s">
        <v>39</v>
      </c>
      <c r="H370" t="s">
        <v>6</v>
      </c>
      <c r="I370">
        <f>SUMIFS('CompilationCalcs - EPA EOL'!$G$4:$G$264,'CompilationCalcs - EPA EOL'!$F$4:$F$264,dataforsankey!$H370,'CompilationCalcs - EPA EOL'!$A$4:$A$264,dataforsankey!$J370,'CompilationCalcs - EPA EOL'!$B$4:$B$264,dataforsankey!$G370)</f>
        <v>0</v>
      </c>
      <c r="J370" t="s">
        <v>11</v>
      </c>
      <c r="M370" t="s">
        <v>872</v>
      </c>
      <c r="N370" t="s">
        <v>63</v>
      </c>
      <c r="O370">
        <f>INDEX(PlasticsDataCompilation!$D$20:$D$36,MATCH(dataforsankey!$P370,PlasticsDataCompilation!$A$20:$A$36,0),1)*INDEX(PlasticsUse!$B$27:$L$43,MATCH(dataforsankey!$P370,PlasticsUse!$A$27:$A$43,0),MATCH($N370,PlasticsUse!$B$26:$L$26,0))</f>
        <v>0</v>
      </c>
      <c r="P370" t="s">
        <v>105</v>
      </c>
      <c r="S370" t="s">
        <v>330</v>
      </c>
      <c r="T370" t="s">
        <v>6</v>
      </c>
      <c r="U370" s="11">
        <f t="shared" si="32"/>
        <v>1.1201897216386802</v>
      </c>
      <c r="V370" t="s">
        <v>19</v>
      </c>
      <c r="Y370" t="s">
        <v>891</v>
      </c>
      <c r="Z370" t="s">
        <v>18</v>
      </c>
      <c r="AA370" s="11">
        <f t="shared" si="30"/>
        <v>0</v>
      </c>
      <c r="AB370" t="s">
        <v>8</v>
      </c>
      <c r="AE370" t="s">
        <v>891</v>
      </c>
      <c r="AF370" t="s">
        <v>18</v>
      </c>
      <c r="AG370" s="11">
        <f t="shared" si="31"/>
        <v>0</v>
      </c>
      <c r="AH370" t="s">
        <v>8</v>
      </c>
    </row>
    <row r="371" spans="7:34" x14ac:dyDescent="0.2">
      <c r="G371" t="s">
        <v>39</v>
      </c>
      <c r="H371" t="s">
        <v>6</v>
      </c>
      <c r="I371">
        <f>SUMIFS('CompilationCalcs - EPA EOL'!$G$4:$G$264,'CompilationCalcs - EPA EOL'!$F$4:$F$264,dataforsankey!$H371,'CompilationCalcs - EPA EOL'!$A$4:$A$264,dataforsankey!$J371,'CompilationCalcs - EPA EOL'!$B$4:$B$264,dataforsankey!$G371)</f>
        <v>0</v>
      </c>
      <c r="J371" t="s">
        <v>127</v>
      </c>
      <c r="M371" t="s">
        <v>872</v>
      </c>
      <c r="N371" t="s">
        <v>92</v>
      </c>
      <c r="O371">
        <f>INDEX(PlasticsDataCompilation!$D$20:$D$36,MATCH(dataforsankey!$P371,PlasticsDataCompilation!$A$20:$A$36,0),1)*INDEX(PlasticsUse!$B$27:$L$43,MATCH(dataforsankey!$P371,PlasticsUse!$A$27:$A$43,0),MATCH($N371,PlasticsUse!$B$26:$L$26,0))</f>
        <v>0</v>
      </c>
      <c r="P371" t="s">
        <v>105</v>
      </c>
      <c r="S371" t="s">
        <v>330</v>
      </c>
      <c r="T371" t="s">
        <v>5</v>
      </c>
      <c r="U371" s="11">
        <f t="shared" si="32"/>
        <v>0.24444133762571169</v>
      </c>
      <c r="V371" t="s">
        <v>19</v>
      </c>
      <c r="Y371" t="s">
        <v>891</v>
      </c>
      <c r="Z371" t="s">
        <v>38</v>
      </c>
      <c r="AA371" s="11">
        <f t="shared" si="30"/>
        <v>0</v>
      </c>
      <c r="AB371" t="s">
        <v>19</v>
      </c>
      <c r="AE371" t="s">
        <v>891</v>
      </c>
      <c r="AF371" t="s">
        <v>38</v>
      </c>
      <c r="AG371" s="11">
        <f t="shared" si="31"/>
        <v>0</v>
      </c>
      <c r="AH371" t="s">
        <v>19</v>
      </c>
    </row>
    <row r="372" spans="7:34" x14ac:dyDescent="0.2">
      <c r="G372" t="s">
        <v>39</v>
      </c>
      <c r="H372" t="s">
        <v>6</v>
      </c>
      <c r="I372">
        <f>SUMIFS('CompilationCalcs - EPA EOL'!$G$4:$G$264,'CompilationCalcs - EPA EOL'!$F$4:$F$264,dataforsankey!$H372,'CompilationCalcs - EPA EOL'!$A$4:$A$264,dataforsankey!$J372,'CompilationCalcs - EPA EOL'!$B$4:$B$264,dataforsankey!$G372)</f>
        <v>0</v>
      </c>
      <c r="J372" t="s">
        <v>122</v>
      </c>
      <c r="M372" t="s">
        <v>872</v>
      </c>
      <c r="N372" t="s">
        <v>103</v>
      </c>
      <c r="O372">
        <f>INDEX(PlasticsDataCompilation!$D$20:$D$36,MATCH(dataforsankey!$P372,PlasticsDataCompilation!$A$20:$A$36,0),1)*INDEX(PlasticsUse!$B$27:$L$43,MATCH(dataforsankey!$P372,PlasticsUse!$A$27:$A$43,0),MATCH($N372,PlasticsUse!$B$26:$L$26,0))</f>
        <v>0</v>
      </c>
      <c r="P372" t="s">
        <v>105</v>
      </c>
      <c r="S372" t="s">
        <v>330</v>
      </c>
      <c r="T372" t="s">
        <v>358</v>
      </c>
      <c r="U372" s="11">
        <f t="shared" si="32"/>
        <v>0</v>
      </c>
      <c r="V372" t="s">
        <v>19</v>
      </c>
      <c r="Y372" t="s">
        <v>891</v>
      </c>
      <c r="Z372" t="s">
        <v>99</v>
      </c>
      <c r="AA372" s="11">
        <f t="shared" si="30"/>
        <v>2.4821927167594179E-2</v>
      </c>
      <c r="AB372" t="s">
        <v>19</v>
      </c>
      <c r="AE372" t="s">
        <v>891</v>
      </c>
      <c r="AF372" t="s">
        <v>99</v>
      </c>
      <c r="AG372" s="11">
        <f t="shared" si="31"/>
        <v>2.4821927167594179E-2</v>
      </c>
      <c r="AH372" t="s">
        <v>19</v>
      </c>
    </row>
    <row r="373" spans="7:34" x14ac:dyDescent="0.2">
      <c r="G373" t="s">
        <v>39</v>
      </c>
      <c r="H373" t="s">
        <v>6</v>
      </c>
      <c r="I373">
        <f>SUMIFS('CompilationCalcs - EPA EOL'!$G$4:$G$264,'CompilationCalcs - EPA EOL'!$F$4:$F$264,dataforsankey!$H373,'CompilationCalcs - EPA EOL'!$A$4:$A$264,dataforsankey!$J373,'CompilationCalcs - EPA EOL'!$B$4:$B$264,dataforsankey!$G373)</f>
        <v>0</v>
      </c>
      <c r="J373" t="s">
        <v>82</v>
      </c>
      <c r="M373" t="s">
        <v>872</v>
      </c>
      <c r="N373" t="s">
        <v>86</v>
      </c>
      <c r="O373">
        <f>INDEX(PlasticsDataCompilation!$D$20:$D$36,MATCH(dataforsankey!$P373,PlasticsDataCompilation!$A$20:$A$36,0),1)*INDEX(PlasticsUse!$B$27:$L$43,MATCH(dataforsankey!$P373,PlasticsUse!$A$27:$A$43,0),MATCH($N373,PlasticsUse!$B$26:$L$26,0))</f>
        <v>0</v>
      </c>
      <c r="P373" t="s">
        <v>105</v>
      </c>
      <c r="S373" t="s">
        <v>335</v>
      </c>
      <c r="T373" t="s">
        <v>191</v>
      </c>
      <c r="U373" s="11">
        <f t="shared" si="32"/>
        <v>0</v>
      </c>
      <c r="V373" t="s">
        <v>19</v>
      </c>
      <c r="Y373" t="s">
        <v>891</v>
      </c>
      <c r="Z373" t="s">
        <v>69</v>
      </c>
      <c r="AA373" s="11">
        <f t="shared" si="30"/>
        <v>5.157067503884754E-2</v>
      </c>
      <c r="AB373" t="s">
        <v>19</v>
      </c>
      <c r="AE373" t="s">
        <v>891</v>
      </c>
      <c r="AF373" t="s">
        <v>69</v>
      </c>
      <c r="AG373" s="11">
        <f t="shared" si="31"/>
        <v>5.157067503884754E-2</v>
      </c>
      <c r="AH373" t="s">
        <v>19</v>
      </c>
    </row>
    <row r="374" spans="7:34" x14ac:dyDescent="0.2">
      <c r="G374" t="s">
        <v>68</v>
      </c>
      <c r="H374" t="s">
        <v>4</v>
      </c>
      <c r="I374">
        <f>SUMIFS('CompilationCalcs - EPA EOL'!$G$4:$G$264,'CompilationCalcs - EPA EOL'!$F$4:$F$264,dataforsankey!$H374,'CompilationCalcs - EPA EOL'!$A$4:$A$264,dataforsankey!$J374,'CompilationCalcs - EPA EOL'!$B$4:$B$264,dataforsankey!$G374)</f>
        <v>0</v>
      </c>
      <c r="J374" t="s">
        <v>0</v>
      </c>
      <c r="M374" t="s">
        <v>872</v>
      </c>
      <c r="N374" t="s">
        <v>18</v>
      </c>
      <c r="O374">
        <f>INDEX(PlasticsDataCompilation!$D$20:$D$36,MATCH(dataforsankey!$P374,PlasticsDataCompilation!$A$20:$A$36,0),1)*INDEX(PlasticsUse!$B$27:$L$43,MATCH(dataforsankey!$P374,PlasticsUse!$A$27:$A$43,0),MATCH($N374,PlasticsUse!$B$26:$L$26,0))</f>
        <v>0</v>
      </c>
      <c r="P374" t="s">
        <v>105</v>
      </c>
      <c r="S374" t="s">
        <v>335</v>
      </c>
      <c r="T374" t="s">
        <v>333</v>
      </c>
      <c r="U374" s="11">
        <f t="shared" si="32"/>
        <v>0</v>
      </c>
      <c r="V374" t="s">
        <v>19</v>
      </c>
      <c r="Y374" t="s">
        <v>891</v>
      </c>
      <c r="Z374" t="s">
        <v>100</v>
      </c>
      <c r="AA374" s="11">
        <f t="shared" si="30"/>
        <v>0</v>
      </c>
      <c r="AB374" t="s">
        <v>19</v>
      </c>
      <c r="AE374" t="s">
        <v>891</v>
      </c>
      <c r="AF374" t="s">
        <v>100</v>
      </c>
      <c r="AG374" s="11">
        <f t="shared" si="31"/>
        <v>0</v>
      </c>
      <c r="AH374" t="s">
        <v>19</v>
      </c>
    </row>
    <row r="375" spans="7:34" x14ac:dyDescent="0.2">
      <c r="G375" t="s">
        <v>68</v>
      </c>
      <c r="H375" t="s">
        <v>4</v>
      </c>
      <c r="I375">
        <f>SUMIFS('CompilationCalcs - EPA EOL'!$G$4:$G$264,'CompilationCalcs - EPA EOL'!$F$4:$F$264,dataforsankey!$H375,'CompilationCalcs - EPA EOL'!$A$4:$A$264,dataforsankey!$J375,'CompilationCalcs - EPA EOL'!$B$4:$B$264,dataforsankey!$G375)</f>
        <v>0</v>
      </c>
      <c r="J375" t="s">
        <v>2</v>
      </c>
      <c r="M375" t="s">
        <v>872</v>
      </c>
      <c r="N375" t="s">
        <v>38</v>
      </c>
      <c r="O375">
        <f>INDEX(PlasticsDataCompilation!$D$20:$D$36,MATCH(dataforsankey!$P375,PlasticsDataCompilation!$A$20:$A$36,0),1)*INDEX(PlasticsUse!$B$27:$L$43,MATCH(dataforsankey!$P375,PlasticsUse!$A$27:$A$43,0),MATCH($N375,PlasticsUse!$B$26:$L$26,0))</f>
        <v>0</v>
      </c>
      <c r="P375" t="s">
        <v>576</v>
      </c>
      <c r="S375" t="s">
        <v>335</v>
      </c>
      <c r="T375" t="s">
        <v>6</v>
      </c>
      <c r="U375" s="11">
        <f t="shared" si="32"/>
        <v>0.11201673182923143</v>
      </c>
      <c r="V375" t="s">
        <v>19</v>
      </c>
      <c r="Y375" t="s">
        <v>891</v>
      </c>
      <c r="Z375" t="s">
        <v>39</v>
      </c>
      <c r="AA375" s="11">
        <f t="shared" si="30"/>
        <v>4.0291105325201942E-2</v>
      </c>
      <c r="AB375" t="s">
        <v>19</v>
      </c>
      <c r="AE375" t="s">
        <v>891</v>
      </c>
      <c r="AF375" t="s">
        <v>39</v>
      </c>
      <c r="AG375" s="11">
        <f t="shared" si="31"/>
        <v>4.0291105325201942E-2</v>
      </c>
      <c r="AH375" t="s">
        <v>19</v>
      </c>
    </row>
    <row r="376" spans="7:34" x14ac:dyDescent="0.2">
      <c r="G376" t="s">
        <v>68</v>
      </c>
      <c r="H376" t="s">
        <v>4</v>
      </c>
      <c r="I376">
        <f>SUMIFS('CompilationCalcs - EPA EOL'!$G$4:$G$264,'CompilationCalcs - EPA EOL'!$F$4:$F$264,dataforsankey!$H376,'CompilationCalcs - EPA EOL'!$A$4:$A$264,dataforsankey!$J376,'CompilationCalcs - EPA EOL'!$B$4:$B$264,dataforsankey!$G376)</f>
        <v>4.6280150278259401E-2</v>
      </c>
      <c r="J376" t="s">
        <v>1</v>
      </c>
      <c r="M376" t="s">
        <v>872</v>
      </c>
      <c r="N376" t="s">
        <v>99</v>
      </c>
      <c r="O376">
        <f>INDEX(PlasticsDataCompilation!$D$20:$D$36,MATCH(dataforsankey!$P376,PlasticsDataCompilation!$A$20:$A$36,0),1)*INDEX(PlasticsUse!$B$27:$L$43,MATCH(dataforsankey!$P376,PlasticsUse!$A$27:$A$43,0),MATCH($N376,PlasticsUse!$B$26:$L$26,0))</f>
        <v>0</v>
      </c>
      <c r="P376" t="s">
        <v>576</v>
      </c>
      <c r="S376" t="s">
        <v>335</v>
      </c>
      <c r="T376" t="s">
        <v>5</v>
      </c>
      <c r="U376" s="11">
        <f t="shared" si="32"/>
        <v>2.4443644889673374E-2</v>
      </c>
      <c r="V376" t="s">
        <v>19</v>
      </c>
      <c r="Y376" t="s">
        <v>891</v>
      </c>
      <c r="Z376" t="s">
        <v>68</v>
      </c>
      <c r="AA376" s="11">
        <f t="shared" si="30"/>
        <v>6.5856057280109348E-2</v>
      </c>
      <c r="AB376" t="s">
        <v>19</v>
      </c>
      <c r="AE376" t="s">
        <v>891</v>
      </c>
      <c r="AF376" t="s">
        <v>68</v>
      </c>
      <c r="AG376" s="11">
        <f t="shared" si="31"/>
        <v>6.5856057280109348E-2</v>
      </c>
      <c r="AH376" t="s">
        <v>19</v>
      </c>
    </row>
    <row r="377" spans="7:34" x14ac:dyDescent="0.2">
      <c r="G377" t="s">
        <v>68</v>
      </c>
      <c r="H377" t="s">
        <v>4</v>
      </c>
      <c r="I377">
        <f>SUMIFS('CompilationCalcs - EPA EOL'!$G$4:$G$264,'CompilationCalcs - EPA EOL'!$F$4:$F$264,dataforsankey!$H377,'CompilationCalcs - EPA EOL'!$A$4:$A$264,dataforsankey!$J377,'CompilationCalcs - EPA EOL'!$B$4:$B$264,dataforsankey!$G377)</f>
        <v>0</v>
      </c>
      <c r="J377" t="s">
        <v>7</v>
      </c>
      <c r="M377" t="s">
        <v>872</v>
      </c>
      <c r="N377" t="s">
        <v>69</v>
      </c>
      <c r="O377">
        <f>INDEX(PlasticsDataCompilation!$D$20:$D$36,MATCH(dataforsankey!$P377,PlasticsDataCompilation!$A$20:$A$36,0),1)*INDEX(PlasticsUse!$B$27:$L$43,MATCH(dataforsankey!$P377,PlasticsUse!$A$27:$A$43,0),MATCH($N377,PlasticsUse!$B$26:$L$26,0))</f>
        <v>0</v>
      </c>
      <c r="P377" t="s">
        <v>576</v>
      </c>
      <c r="S377" t="s">
        <v>335</v>
      </c>
      <c r="T377" t="s">
        <v>358</v>
      </c>
      <c r="U377" s="11">
        <f t="shared" si="32"/>
        <v>0</v>
      </c>
      <c r="V377" t="s">
        <v>19</v>
      </c>
      <c r="Y377" t="s">
        <v>891</v>
      </c>
      <c r="Z377" t="s">
        <v>63</v>
      </c>
      <c r="AA377" s="11">
        <f t="shared" si="30"/>
        <v>2.4709891582476901E-2</v>
      </c>
      <c r="AB377" t="s">
        <v>19</v>
      </c>
      <c r="AE377" t="s">
        <v>891</v>
      </c>
      <c r="AF377" t="s">
        <v>63</v>
      </c>
      <c r="AG377" s="11">
        <f t="shared" si="31"/>
        <v>2.4709891582476901E-2</v>
      </c>
      <c r="AH377" t="s">
        <v>19</v>
      </c>
    </row>
    <row r="378" spans="7:34" x14ac:dyDescent="0.2">
      <c r="G378" t="s">
        <v>68</v>
      </c>
      <c r="H378" t="s">
        <v>4</v>
      </c>
      <c r="I378">
        <f>SUMIFS('CompilationCalcs - EPA EOL'!$G$4:$G$264,'CompilationCalcs - EPA EOL'!$F$4:$F$264,dataforsankey!$H378,'CompilationCalcs - EPA EOL'!$A$4:$A$264,dataforsankey!$J378,'CompilationCalcs - EPA EOL'!$B$4:$B$264,dataforsankey!$G378)</f>
        <v>3.0577956433849963E-2</v>
      </c>
      <c r="J378" t="s">
        <v>8</v>
      </c>
      <c r="M378" t="s">
        <v>872</v>
      </c>
      <c r="N378" t="s">
        <v>100</v>
      </c>
      <c r="O378">
        <f>INDEX(PlasticsDataCompilation!$D$20:$D$36,MATCH(dataforsankey!$P378,PlasticsDataCompilation!$A$20:$A$36,0),1)*INDEX(PlasticsUse!$B$27:$L$43,MATCH(dataforsankey!$P378,PlasticsUse!$A$27:$A$43,0),MATCH($N378,PlasticsUse!$B$26:$L$26,0))</f>
        <v>0</v>
      </c>
      <c r="P378" t="s">
        <v>576</v>
      </c>
      <c r="S378" t="s">
        <v>330</v>
      </c>
      <c r="T378" t="s">
        <v>191</v>
      </c>
      <c r="U378" s="11">
        <f t="shared" si="32"/>
        <v>0.25583514345243025</v>
      </c>
      <c r="V378" t="s">
        <v>1</v>
      </c>
      <c r="Y378" t="s">
        <v>891</v>
      </c>
      <c r="Z378" t="s">
        <v>92</v>
      </c>
      <c r="AA378" s="11">
        <f t="shared" si="30"/>
        <v>0</v>
      </c>
      <c r="AB378" t="s">
        <v>19</v>
      </c>
      <c r="AE378" t="s">
        <v>891</v>
      </c>
      <c r="AF378" t="s">
        <v>92</v>
      </c>
      <c r="AG378" s="11">
        <f t="shared" si="31"/>
        <v>0</v>
      </c>
      <c r="AH378" t="s">
        <v>19</v>
      </c>
    </row>
    <row r="379" spans="7:34" x14ac:dyDescent="0.2">
      <c r="G379" t="s">
        <v>68</v>
      </c>
      <c r="H379" t="s">
        <v>4</v>
      </c>
      <c r="I379">
        <f>SUMIFS('CompilationCalcs - EPA EOL'!$G$4:$G$264,'CompilationCalcs - EPA EOL'!$F$4:$F$264,dataforsankey!$H379,'CompilationCalcs - EPA EOL'!$A$4:$A$264,dataforsankey!$J379,'CompilationCalcs - EPA EOL'!$B$4:$B$264,dataforsankey!$G379)</f>
        <v>0</v>
      </c>
      <c r="J379" t="s">
        <v>9</v>
      </c>
      <c r="M379" t="s">
        <v>872</v>
      </c>
      <c r="N379" t="s">
        <v>39</v>
      </c>
      <c r="O379">
        <f>INDEX(PlasticsDataCompilation!$D$20:$D$36,MATCH(dataforsankey!$P379,PlasticsDataCompilation!$A$20:$A$36,0),1)*INDEX(PlasticsUse!$B$27:$L$43,MATCH(dataforsankey!$P379,PlasticsUse!$A$27:$A$43,0),MATCH($N379,PlasticsUse!$B$26:$L$26,0))</f>
        <v>0</v>
      </c>
      <c r="P379" t="s">
        <v>576</v>
      </c>
      <c r="S379" t="s">
        <v>330</v>
      </c>
      <c r="T379" t="s">
        <v>333</v>
      </c>
      <c r="U379" s="11">
        <f t="shared" si="32"/>
        <v>7.4765106830960479E-2</v>
      </c>
      <c r="V379" t="s">
        <v>1</v>
      </c>
      <c r="Y379" t="s">
        <v>891</v>
      </c>
      <c r="Z379" t="s">
        <v>103</v>
      </c>
      <c r="AA379" s="11">
        <f t="shared" si="30"/>
        <v>0</v>
      </c>
      <c r="AB379" t="s">
        <v>19</v>
      </c>
      <c r="AE379" t="s">
        <v>891</v>
      </c>
      <c r="AF379" t="s">
        <v>103</v>
      </c>
      <c r="AG379" s="11">
        <f t="shared" si="31"/>
        <v>0</v>
      </c>
      <c r="AH379" t="s">
        <v>19</v>
      </c>
    </row>
    <row r="380" spans="7:34" x14ac:dyDescent="0.2">
      <c r="G380" t="s">
        <v>68</v>
      </c>
      <c r="H380" t="s">
        <v>4</v>
      </c>
      <c r="I380">
        <f>SUMIFS('CompilationCalcs - EPA EOL'!$G$4:$G$264,'CompilationCalcs - EPA EOL'!$F$4:$F$264,dataforsankey!$H380,'CompilationCalcs - EPA EOL'!$A$4:$A$264,dataforsankey!$J380,'CompilationCalcs - EPA EOL'!$B$4:$B$264,dataforsankey!$G380)</f>
        <v>4.1321562748445895E-3</v>
      </c>
      <c r="J380" t="s">
        <v>10</v>
      </c>
      <c r="M380" t="s">
        <v>872</v>
      </c>
      <c r="N380" t="s">
        <v>68</v>
      </c>
      <c r="O380">
        <f>INDEX(PlasticsDataCompilation!$D$20:$D$36,MATCH(dataforsankey!$P380,PlasticsDataCompilation!$A$20:$A$36,0),1)*INDEX(PlasticsUse!$B$27:$L$43,MATCH(dataforsankey!$P380,PlasticsUse!$A$27:$A$43,0),MATCH($N380,PlasticsUse!$B$26:$L$26,0))</f>
        <v>0</v>
      </c>
      <c r="P380" t="s">
        <v>576</v>
      </c>
      <c r="S380" t="s">
        <v>330</v>
      </c>
      <c r="T380" t="s">
        <v>6</v>
      </c>
      <c r="U380" s="11">
        <f t="shared" si="32"/>
        <v>1.4812796725850477</v>
      </c>
      <c r="V380" t="s">
        <v>1</v>
      </c>
      <c r="Y380" t="s">
        <v>891</v>
      </c>
      <c r="Z380" t="s">
        <v>86</v>
      </c>
      <c r="AA380" s="11">
        <f t="shared" si="30"/>
        <v>0</v>
      </c>
      <c r="AB380" t="s">
        <v>19</v>
      </c>
      <c r="AE380" t="s">
        <v>891</v>
      </c>
      <c r="AF380" t="s">
        <v>86</v>
      </c>
      <c r="AG380" s="11">
        <f t="shared" si="31"/>
        <v>0</v>
      </c>
      <c r="AH380" t="s">
        <v>19</v>
      </c>
    </row>
    <row r="381" spans="7:34" x14ac:dyDescent="0.2">
      <c r="G381" t="s">
        <v>68</v>
      </c>
      <c r="H381" t="s">
        <v>4</v>
      </c>
      <c r="I381">
        <f>SUMIFS('CompilationCalcs - EPA EOL'!$G$4:$G$264,'CompilationCalcs - EPA EOL'!$F$4:$F$264,dataforsankey!$H381,'CompilationCalcs - EPA EOL'!$A$4:$A$264,dataforsankey!$J381,'CompilationCalcs - EPA EOL'!$B$4:$B$264,dataforsankey!$G381)</f>
        <v>1.6528625099378356E-3</v>
      </c>
      <c r="J381" t="s">
        <v>11</v>
      </c>
      <c r="M381" t="s">
        <v>872</v>
      </c>
      <c r="N381" t="s">
        <v>63</v>
      </c>
      <c r="O381">
        <f>INDEX(PlasticsDataCompilation!$D$20:$D$36,MATCH(dataforsankey!$P381,PlasticsDataCompilation!$A$20:$A$36,0),1)*INDEX(PlasticsUse!$B$27:$L$43,MATCH(dataforsankey!$P381,PlasticsUse!$A$27:$A$43,0),MATCH($N381,PlasticsUse!$B$26:$L$26,0))</f>
        <v>0</v>
      </c>
      <c r="P381" t="s">
        <v>576</v>
      </c>
      <c r="S381" t="s">
        <v>330</v>
      </c>
      <c r="T381" t="s">
        <v>5</v>
      </c>
      <c r="U381" s="11">
        <f t="shared" si="32"/>
        <v>0.32430482560411122</v>
      </c>
      <c r="V381" t="s">
        <v>1</v>
      </c>
      <c r="Y381" t="s">
        <v>891</v>
      </c>
      <c r="Z381" t="s">
        <v>18</v>
      </c>
      <c r="AA381" s="11">
        <f t="shared" si="30"/>
        <v>0</v>
      </c>
      <c r="AB381" t="s">
        <v>19</v>
      </c>
      <c r="AE381" t="s">
        <v>891</v>
      </c>
      <c r="AF381" t="s">
        <v>18</v>
      </c>
      <c r="AG381" s="11">
        <f t="shared" si="31"/>
        <v>0</v>
      </c>
      <c r="AH381" t="s">
        <v>19</v>
      </c>
    </row>
    <row r="382" spans="7:34" x14ac:dyDescent="0.2">
      <c r="G382" t="s">
        <v>68</v>
      </c>
      <c r="H382" t="s">
        <v>4</v>
      </c>
      <c r="I382">
        <f>SUMIFS('CompilationCalcs - EPA EOL'!$G$4:$G$264,'CompilationCalcs - EPA EOL'!$F$4:$F$264,dataforsankey!$H382,'CompilationCalcs - EPA EOL'!$A$4:$A$264,dataforsankey!$J382,'CompilationCalcs - EPA EOL'!$B$4:$B$264,dataforsankey!$G382)</f>
        <v>0</v>
      </c>
      <c r="J382" t="s">
        <v>127</v>
      </c>
      <c r="M382" t="s">
        <v>872</v>
      </c>
      <c r="N382" t="s">
        <v>92</v>
      </c>
      <c r="O382">
        <f>INDEX(PlasticsDataCompilation!$D$20:$D$36,MATCH(dataforsankey!$P382,PlasticsDataCompilation!$A$20:$A$36,0),1)*INDEX(PlasticsUse!$B$27:$L$43,MATCH(dataforsankey!$P382,PlasticsUse!$A$27:$A$43,0),MATCH($N382,PlasticsUse!$B$26:$L$26,0))</f>
        <v>0</v>
      </c>
      <c r="P382" t="s">
        <v>576</v>
      </c>
      <c r="S382" t="s">
        <v>330</v>
      </c>
      <c r="T382" t="s">
        <v>358</v>
      </c>
      <c r="U382" s="11">
        <f t="shared" si="32"/>
        <v>0</v>
      </c>
      <c r="V382" t="s">
        <v>1</v>
      </c>
      <c r="Y382" t="s">
        <v>891</v>
      </c>
      <c r="Z382" t="s">
        <v>38</v>
      </c>
      <c r="AA382" s="11">
        <f t="shared" si="30"/>
        <v>0</v>
      </c>
      <c r="AB382" t="s">
        <v>1</v>
      </c>
      <c r="AE382" t="s">
        <v>891</v>
      </c>
      <c r="AF382" t="s">
        <v>38</v>
      </c>
      <c r="AG382" s="11">
        <f t="shared" si="31"/>
        <v>0</v>
      </c>
      <c r="AH382" t="s">
        <v>1</v>
      </c>
    </row>
    <row r="383" spans="7:34" x14ac:dyDescent="0.2">
      <c r="G383" t="s">
        <v>68</v>
      </c>
      <c r="H383" t="s">
        <v>4</v>
      </c>
      <c r="I383">
        <f>SUMIFS('CompilationCalcs - EPA EOL'!$G$4:$G$264,'CompilationCalcs - EPA EOL'!$F$4:$F$264,dataforsankey!$H383,'CompilationCalcs - EPA EOL'!$A$4:$A$264,dataforsankey!$J383,'CompilationCalcs - EPA EOL'!$B$4:$B$264,dataforsankey!$G383)</f>
        <v>0</v>
      </c>
      <c r="J383" t="s">
        <v>122</v>
      </c>
      <c r="M383" t="s">
        <v>872</v>
      </c>
      <c r="N383" t="s">
        <v>103</v>
      </c>
      <c r="O383">
        <f>INDEX(PlasticsDataCompilation!$D$20:$D$36,MATCH(dataforsankey!$P383,PlasticsDataCompilation!$A$20:$A$36,0),1)*INDEX(PlasticsUse!$B$27:$L$43,MATCH(dataforsankey!$P383,PlasticsUse!$A$27:$A$43,0),MATCH($N383,PlasticsUse!$B$26:$L$26,0))</f>
        <v>0</v>
      </c>
      <c r="P383" t="s">
        <v>576</v>
      </c>
      <c r="S383" t="s">
        <v>335</v>
      </c>
      <c r="T383" t="s">
        <v>191</v>
      </c>
      <c r="U383" s="11">
        <f t="shared" si="32"/>
        <v>2.5583002685189319E-2</v>
      </c>
      <c r="V383" t="s">
        <v>1</v>
      </c>
      <c r="Y383" t="s">
        <v>891</v>
      </c>
      <c r="Z383" t="s">
        <v>99</v>
      </c>
      <c r="AA383" s="11">
        <f t="shared" si="30"/>
        <v>3.4712258955991122E-2</v>
      </c>
      <c r="AB383" t="s">
        <v>1</v>
      </c>
      <c r="AE383" t="s">
        <v>891</v>
      </c>
      <c r="AF383" t="s">
        <v>99</v>
      </c>
      <c r="AG383" s="11">
        <f t="shared" si="31"/>
        <v>3.4712258955991122E-2</v>
      </c>
      <c r="AH383" t="s">
        <v>1</v>
      </c>
    </row>
    <row r="384" spans="7:34" x14ac:dyDescent="0.2">
      <c r="G384" t="s">
        <v>68</v>
      </c>
      <c r="H384" t="s">
        <v>4</v>
      </c>
      <c r="I384">
        <f>SUMIFS('CompilationCalcs - EPA EOL'!$G$4:$G$264,'CompilationCalcs - EPA EOL'!$F$4:$F$264,dataforsankey!$H384,'CompilationCalcs - EPA EOL'!$A$4:$A$264,dataforsankey!$J384,'CompilationCalcs - EPA EOL'!$B$4:$B$264,dataforsankey!$G384)</f>
        <v>9.1733869301549878E-2</v>
      </c>
      <c r="J384" t="s">
        <v>82</v>
      </c>
      <c r="M384" t="s">
        <v>872</v>
      </c>
      <c r="N384" t="s">
        <v>86</v>
      </c>
      <c r="O384">
        <f>INDEX(PlasticsDataCompilation!$D$20:$D$36,MATCH(dataforsankey!$P384,PlasticsDataCompilation!$A$20:$A$36,0),1)*INDEX(PlasticsUse!$B$27:$L$43,MATCH(dataforsankey!$P384,PlasticsUse!$A$27:$A$43,0),MATCH($N384,PlasticsUse!$B$26:$L$26,0))</f>
        <v>2.2635924861555377</v>
      </c>
      <c r="P384" t="s">
        <v>576</v>
      </c>
      <c r="S384" t="s">
        <v>335</v>
      </c>
      <c r="T384" t="s">
        <v>333</v>
      </c>
      <c r="U384" s="11">
        <f t="shared" si="32"/>
        <v>0</v>
      </c>
      <c r="V384" t="s">
        <v>1</v>
      </c>
      <c r="Y384" t="s">
        <v>891</v>
      </c>
      <c r="Z384" t="s">
        <v>69</v>
      </c>
      <c r="AA384" s="11">
        <f t="shared" si="30"/>
        <v>7.2119083034810502E-2</v>
      </c>
      <c r="AB384" t="s">
        <v>1</v>
      </c>
      <c r="AE384" t="s">
        <v>891</v>
      </c>
      <c r="AF384" t="s">
        <v>69</v>
      </c>
      <c r="AG384" s="11">
        <f t="shared" si="31"/>
        <v>7.2119083034810502E-2</v>
      </c>
      <c r="AH384" t="s">
        <v>1</v>
      </c>
    </row>
    <row r="385" spans="7:34" x14ac:dyDescent="0.2">
      <c r="G385" t="s">
        <v>68</v>
      </c>
      <c r="H385" t="s">
        <v>5</v>
      </c>
      <c r="I385">
        <f>SUMIFS('CompilationCalcs - EPA EOL'!$G$4:$G$264,'CompilationCalcs - EPA EOL'!$F$4:$F$264,dataforsankey!$H385,'CompilationCalcs - EPA EOL'!$A$4:$A$264,dataforsankey!$J385,'CompilationCalcs - EPA EOL'!$B$4:$B$264,dataforsankey!$G385)</f>
        <v>0</v>
      </c>
      <c r="J385" t="s">
        <v>0</v>
      </c>
      <c r="M385" t="s">
        <v>872</v>
      </c>
      <c r="N385" t="s">
        <v>18</v>
      </c>
      <c r="O385">
        <f>INDEX(PlasticsDataCompilation!$D$20:$D$36,MATCH(dataforsankey!$P385,PlasticsDataCompilation!$A$20:$A$36,0),1)*INDEX(PlasticsUse!$B$27:$L$43,MATCH(dataforsankey!$P385,PlasticsUse!$A$27:$A$43,0),MATCH($N385,PlasticsUse!$B$26:$L$26,0))</f>
        <v>0</v>
      </c>
      <c r="P385" t="s">
        <v>576</v>
      </c>
      <c r="S385" t="s">
        <v>335</v>
      </c>
      <c r="T385" t="s">
        <v>6</v>
      </c>
      <c r="U385" s="11">
        <f t="shared" si="32"/>
        <v>0.14812500475840959</v>
      </c>
      <c r="V385" t="s">
        <v>1</v>
      </c>
      <c r="Y385" t="s">
        <v>891</v>
      </c>
      <c r="Z385" t="s">
        <v>100</v>
      </c>
      <c r="AA385" s="11">
        <f t="shared" si="30"/>
        <v>0</v>
      </c>
      <c r="AB385" t="s">
        <v>1</v>
      </c>
      <c r="AE385" t="s">
        <v>891</v>
      </c>
      <c r="AF385" t="s">
        <v>100</v>
      </c>
      <c r="AG385" s="11">
        <f t="shared" si="31"/>
        <v>0</v>
      </c>
      <c r="AH385" t="s">
        <v>1</v>
      </c>
    </row>
    <row r="386" spans="7:34" x14ac:dyDescent="0.2">
      <c r="G386" t="s">
        <v>68</v>
      </c>
      <c r="H386" t="s">
        <v>5</v>
      </c>
      <c r="I386">
        <f>SUMIFS('CompilationCalcs - EPA EOL'!$G$4:$G$264,'CompilationCalcs - EPA EOL'!$F$4:$F$264,dataforsankey!$H386,'CompilationCalcs - EPA EOL'!$A$4:$A$264,dataforsankey!$J386,'CompilationCalcs - EPA EOL'!$B$4:$B$264,dataforsankey!$G386)</f>
        <v>0</v>
      </c>
      <c r="J386" t="s">
        <v>2</v>
      </c>
      <c r="M386" t="s">
        <v>872</v>
      </c>
      <c r="N386" t="s">
        <v>38</v>
      </c>
      <c r="O386">
        <f>INDEX(PlasticsDataCompilation!$D$20:$D$36,MATCH(dataforsankey!$P386,PlasticsDataCompilation!$A$20:$A$36,0),1)*INDEX(PlasticsUse!$B$27:$L$43,MATCH(dataforsankey!$P386,PlasticsUse!$A$27:$A$43,0),MATCH($N386,PlasticsUse!$B$26:$L$26,0))</f>
        <v>0</v>
      </c>
      <c r="P386" t="s">
        <v>575</v>
      </c>
      <c r="S386" t="s">
        <v>335</v>
      </c>
      <c r="T386" t="s">
        <v>5</v>
      </c>
      <c r="U386" s="11">
        <f t="shared" si="32"/>
        <v>3.2429833963731843E-2</v>
      </c>
      <c r="V386" t="s">
        <v>1</v>
      </c>
      <c r="Y386" t="s">
        <v>891</v>
      </c>
      <c r="Z386" t="s">
        <v>39</v>
      </c>
      <c r="AA386" s="11">
        <f t="shared" si="30"/>
        <v>5.6345152905670964E-2</v>
      </c>
      <c r="AB386" t="s">
        <v>1</v>
      </c>
      <c r="AE386" t="s">
        <v>891</v>
      </c>
      <c r="AF386" t="s">
        <v>39</v>
      </c>
      <c r="AG386" s="11">
        <f t="shared" si="31"/>
        <v>5.6345152905670964E-2</v>
      </c>
      <c r="AH386" t="s">
        <v>1</v>
      </c>
    </row>
    <row r="387" spans="7:34" x14ac:dyDescent="0.2">
      <c r="G387" t="s">
        <v>68</v>
      </c>
      <c r="H387" t="s">
        <v>5</v>
      </c>
      <c r="I387">
        <f>SUMIFS('CompilationCalcs - EPA EOL'!$G$4:$G$264,'CompilationCalcs - EPA EOL'!$F$4:$F$264,dataforsankey!$H387,'CompilationCalcs - EPA EOL'!$A$4:$A$264,dataforsankey!$J387,'CompilationCalcs - EPA EOL'!$B$4:$B$264,dataforsankey!$G387)</f>
        <v>8.2643125496891789E-3</v>
      </c>
      <c r="J387" t="s">
        <v>1</v>
      </c>
      <c r="M387" t="s">
        <v>872</v>
      </c>
      <c r="N387" t="s">
        <v>99</v>
      </c>
      <c r="O387">
        <f>INDEX(PlasticsDataCompilation!$D$20:$D$36,MATCH(dataforsankey!$P387,PlasticsDataCompilation!$A$20:$A$36,0),1)*INDEX(PlasticsUse!$B$27:$L$43,MATCH(dataforsankey!$P387,PlasticsUse!$A$27:$A$43,0),MATCH($N387,PlasticsUse!$B$26:$L$26,0))</f>
        <v>0</v>
      </c>
      <c r="P387" t="s">
        <v>575</v>
      </c>
      <c r="S387" t="s">
        <v>335</v>
      </c>
      <c r="T387" t="s">
        <v>358</v>
      </c>
      <c r="U387" s="11">
        <f t="shared" si="32"/>
        <v>0</v>
      </c>
      <c r="V387" t="s">
        <v>1</v>
      </c>
      <c r="Y387" t="s">
        <v>891</v>
      </c>
      <c r="Z387" t="s">
        <v>68</v>
      </c>
      <c r="AA387" s="11">
        <f t="shared" si="30"/>
        <v>9.2096495920437713E-2</v>
      </c>
      <c r="AB387" t="s">
        <v>1</v>
      </c>
      <c r="AE387" t="s">
        <v>891</v>
      </c>
      <c r="AF387" t="s">
        <v>68</v>
      </c>
      <c r="AG387" s="11">
        <f t="shared" si="31"/>
        <v>9.2096495920437713E-2</v>
      </c>
      <c r="AH387" t="s">
        <v>1</v>
      </c>
    </row>
    <row r="388" spans="7:34" x14ac:dyDescent="0.2">
      <c r="G388" t="s">
        <v>68</v>
      </c>
      <c r="H388" t="s">
        <v>5</v>
      </c>
      <c r="I388">
        <f>SUMIFS('CompilationCalcs - EPA EOL'!$G$4:$G$264,'CompilationCalcs - EPA EOL'!$F$4:$F$264,dataforsankey!$H388,'CompilationCalcs - EPA EOL'!$A$4:$A$264,dataforsankey!$J388,'CompilationCalcs - EPA EOL'!$B$4:$B$264,dataforsankey!$G388)</f>
        <v>0</v>
      </c>
      <c r="J388" t="s">
        <v>7</v>
      </c>
      <c r="M388" t="s">
        <v>872</v>
      </c>
      <c r="N388" t="s">
        <v>69</v>
      </c>
      <c r="O388">
        <f>INDEX(PlasticsDataCompilation!$D$20:$D$36,MATCH(dataforsankey!$P388,PlasticsDataCompilation!$A$20:$A$36,0),1)*INDEX(PlasticsUse!$B$27:$L$43,MATCH(dataforsankey!$P388,PlasticsUse!$A$27:$A$43,0),MATCH($N388,PlasticsUse!$B$26:$L$26,0))</f>
        <v>0</v>
      </c>
      <c r="P388" t="s">
        <v>575</v>
      </c>
      <c r="S388" t="s">
        <v>330</v>
      </c>
      <c r="T388" t="s">
        <v>191</v>
      </c>
      <c r="U388" s="11">
        <f t="shared" si="32"/>
        <v>1.3465387883391803E-2</v>
      </c>
      <c r="V388" t="s">
        <v>10</v>
      </c>
      <c r="Y388" t="s">
        <v>891</v>
      </c>
      <c r="Z388" t="s">
        <v>63</v>
      </c>
      <c r="AA388" s="11">
        <f t="shared" si="30"/>
        <v>3.4555582634421933E-2</v>
      </c>
      <c r="AB388" t="s">
        <v>1</v>
      </c>
      <c r="AE388" t="s">
        <v>891</v>
      </c>
      <c r="AF388" t="s">
        <v>63</v>
      </c>
      <c r="AG388" s="11">
        <f t="shared" si="31"/>
        <v>3.4555582634421933E-2</v>
      </c>
      <c r="AH388" t="s">
        <v>1</v>
      </c>
    </row>
    <row r="389" spans="7:34" x14ac:dyDescent="0.2">
      <c r="G389" t="s">
        <v>68</v>
      </c>
      <c r="H389" t="s">
        <v>5</v>
      </c>
      <c r="I389">
        <f>SUMIFS('CompilationCalcs - EPA EOL'!$G$4:$G$264,'CompilationCalcs - EPA EOL'!$F$4:$F$264,dataforsankey!$H389,'CompilationCalcs - EPA EOL'!$A$4:$A$264,dataforsankey!$J389,'CompilationCalcs - EPA EOL'!$B$4:$B$264,dataforsankey!$G389)</f>
        <v>0</v>
      </c>
      <c r="J389" t="s">
        <v>8</v>
      </c>
      <c r="M389" t="s">
        <v>872</v>
      </c>
      <c r="N389" t="s">
        <v>100</v>
      </c>
      <c r="O389">
        <f>INDEX(PlasticsDataCompilation!$D$20:$D$36,MATCH(dataforsankey!$P389,PlasticsDataCompilation!$A$20:$A$36,0),1)*INDEX(PlasticsUse!$B$27:$L$43,MATCH(dataforsankey!$P389,PlasticsUse!$A$27:$A$43,0),MATCH($N389,PlasticsUse!$B$26:$L$26,0))</f>
        <v>0</v>
      </c>
      <c r="P389" t="s">
        <v>575</v>
      </c>
      <c r="S389" t="s">
        <v>330</v>
      </c>
      <c r="T389" t="s">
        <v>333</v>
      </c>
      <c r="U389" s="11">
        <f t="shared" si="32"/>
        <v>5.7510888377564497E-2</v>
      </c>
      <c r="V389" t="s">
        <v>10</v>
      </c>
      <c r="Y389" t="s">
        <v>891</v>
      </c>
      <c r="Z389" t="s">
        <v>92</v>
      </c>
      <c r="AA389" s="11">
        <f t="shared" si="30"/>
        <v>0</v>
      </c>
      <c r="AB389" t="s">
        <v>1</v>
      </c>
      <c r="AE389" t="s">
        <v>891</v>
      </c>
      <c r="AF389" t="s">
        <v>92</v>
      </c>
      <c r="AG389" s="11">
        <f t="shared" si="31"/>
        <v>0</v>
      </c>
      <c r="AH389" t="s">
        <v>1</v>
      </c>
    </row>
    <row r="390" spans="7:34" x14ac:dyDescent="0.2">
      <c r="G390" t="s">
        <v>68</v>
      </c>
      <c r="H390" t="s">
        <v>5</v>
      </c>
      <c r="I390">
        <f>SUMIFS('CompilationCalcs - EPA EOL'!$G$4:$G$264,'CompilationCalcs - EPA EOL'!$F$4:$F$264,dataforsankey!$H390,'CompilationCalcs - EPA EOL'!$A$4:$A$264,dataforsankey!$J390,'CompilationCalcs - EPA EOL'!$B$4:$B$264,dataforsankey!$G390)</f>
        <v>0</v>
      </c>
      <c r="J390" t="s">
        <v>9</v>
      </c>
      <c r="M390" t="s">
        <v>872</v>
      </c>
      <c r="N390" t="s">
        <v>39</v>
      </c>
      <c r="O390">
        <f>INDEX(PlasticsDataCompilation!$D$20:$D$36,MATCH(dataforsankey!$P390,PlasticsDataCompilation!$A$20:$A$36,0),1)*INDEX(PlasticsUse!$B$27:$L$43,MATCH(dataforsankey!$P390,PlasticsUse!$A$27:$A$43,0),MATCH($N390,PlasticsUse!$B$26:$L$26,0))</f>
        <v>0</v>
      </c>
      <c r="P390" t="s">
        <v>575</v>
      </c>
      <c r="S390" t="s">
        <v>330</v>
      </c>
      <c r="T390" t="s">
        <v>6</v>
      </c>
      <c r="U390" s="11">
        <f t="shared" si="32"/>
        <v>1.3412062780097591</v>
      </c>
      <c r="V390" t="s">
        <v>10</v>
      </c>
      <c r="Y390" t="s">
        <v>891</v>
      </c>
      <c r="Z390" t="s">
        <v>103</v>
      </c>
      <c r="AA390" s="11">
        <f t="shared" si="30"/>
        <v>0</v>
      </c>
      <c r="AB390" t="s">
        <v>1</v>
      </c>
      <c r="AE390" t="s">
        <v>891</v>
      </c>
      <c r="AF390" t="s">
        <v>103</v>
      </c>
      <c r="AG390" s="11">
        <f t="shared" si="31"/>
        <v>0</v>
      </c>
      <c r="AH390" t="s">
        <v>1</v>
      </c>
    </row>
    <row r="391" spans="7:34" x14ac:dyDescent="0.2">
      <c r="G391" t="s">
        <v>68</v>
      </c>
      <c r="H391" t="s">
        <v>5</v>
      </c>
      <c r="I391">
        <f>SUMIFS('CompilationCalcs - EPA EOL'!$G$4:$G$264,'CompilationCalcs - EPA EOL'!$F$4:$F$264,dataforsankey!$H391,'CompilationCalcs - EPA EOL'!$A$4:$A$264,dataforsankey!$J391,'CompilationCalcs - EPA EOL'!$B$4:$B$264,dataforsankey!$G391)</f>
        <v>0</v>
      </c>
      <c r="J391" t="s">
        <v>10</v>
      </c>
      <c r="M391" t="s">
        <v>872</v>
      </c>
      <c r="N391" t="s">
        <v>68</v>
      </c>
      <c r="O391">
        <f>INDEX(PlasticsDataCompilation!$D$20:$D$36,MATCH(dataforsankey!$P391,PlasticsDataCompilation!$A$20:$A$36,0),1)*INDEX(PlasticsUse!$B$27:$L$43,MATCH(dataforsankey!$P391,PlasticsUse!$A$27:$A$43,0),MATCH($N391,PlasticsUse!$B$26:$L$26,0))</f>
        <v>0</v>
      </c>
      <c r="P391" t="s">
        <v>575</v>
      </c>
      <c r="S391" t="s">
        <v>330</v>
      </c>
      <c r="T391" t="s">
        <v>5</v>
      </c>
      <c r="U391" s="11">
        <f t="shared" si="32"/>
        <v>0.23101556087444064</v>
      </c>
      <c r="V391" t="s">
        <v>10</v>
      </c>
      <c r="Y391" t="s">
        <v>891</v>
      </c>
      <c r="Z391" t="s">
        <v>86</v>
      </c>
      <c r="AA391" s="11">
        <f t="shared" si="30"/>
        <v>0</v>
      </c>
      <c r="AB391" t="s">
        <v>1</v>
      </c>
      <c r="AE391" t="s">
        <v>891</v>
      </c>
      <c r="AF391" t="s">
        <v>86</v>
      </c>
      <c r="AG391" s="11">
        <f t="shared" si="31"/>
        <v>0</v>
      </c>
      <c r="AH391" t="s">
        <v>1</v>
      </c>
    </row>
    <row r="392" spans="7:34" x14ac:dyDescent="0.2">
      <c r="G392" t="s">
        <v>68</v>
      </c>
      <c r="H392" t="s">
        <v>5</v>
      </c>
      <c r="I392">
        <f>SUMIFS('CompilationCalcs - EPA EOL'!$G$4:$G$264,'CompilationCalcs - EPA EOL'!$F$4:$F$264,dataforsankey!$H392,'CompilationCalcs - EPA EOL'!$A$4:$A$264,dataforsankey!$J392,'CompilationCalcs - EPA EOL'!$B$4:$B$264,dataforsankey!$G392)</f>
        <v>0</v>
      </c>
      <c r="J392" t="s">
        <v>11</v>
      </c>
      <c r="M392" t="s">
        <v>872</v>
      </c>
      <c r="N392" t="s">
        <v>63</v>
      </c>
      <c r="O392">
        <f>INDEX(PlasticsDataCompilation!$D$20:$D$36,MATCH(dataforsankey!$P392,PlasticsDataCompilation!$A$20:$A$36,0),1)*INDEX(PlasticsUse!$B$27:$L$43,MATCH(dataforsankey!$P392,PlasticsUse!$A$27:$A$43,0),MATCH($N392,PlasticsUse!$B$26:$L$26,0))</f>
        <v>0</v>
      </c>
      <c r="P392" t="s">
        <v>575</v>
      </c>
      <c r="S392" t="s">
        <v>330</v>
      </c>
      <c r="T392" t="s">
        <v>358</v>
      </c>
      <c r="U392" s="11">
        <f t="shared" si="32"/>
        <v>0</v>
      </c>
      <c r="V392" t="s">
        <v>10</v>
      </c>
      <c r="Y392" t="s">
        <v>891</v>
      </c>
      <c r="Z392" t="s">
        <v>18</v>
      </c>
      <c r="AA392" s="11">
        <f t="shared" si="30"/>
        <v>0</v>
      </c>
      <c r="AB392" t="s">
        <v>1</v>
      </c>
      <c r="AE392" t="s">
        <v>891</v>
      </c>
      <c r="AF392" t="s">
        <v>18</v>
      </c>
      <c r="AG392" s="11">
        <f t="shared" si="31"/>
        <v>0</v>
      </c>
      <c r="AH392" t="s">
        <v>1</v>
      </c>
    </row>
    <row r="393" spans="7:34" x14ac:dyDescent="0.2">
      <c r="G393" t="s">
        <v>68</v>
      </c>
      <c r="H393" t="s">
        <v>5</v>
      </c>
      <c r="I393">
        <f>SUMIFS('CompilationCalcs - EPA EOL'!$G$4:$G$264,'CompilationCalcs - EPA EOL'!$F$4:$F$264,dataforsankey!$H393,'CompilationCalcs - EPA EOL'!$A$4:$A$264,dataforsankey!$J393,'CompilationCalcs - EPA EOL'!$B$4:$B$264,dataforsankey!$G393)</f>
        <v>0</v>
      </c>
      <c r="J393" t="s">
        <v>127</v>
      </c>
      <c r="M393" t="s">
        <v>872</v>
      </c>
      <c r="N393" t="s">
        <v>92</v>
      </c>
      <c r="O393">
        <f>INDEX(PlasticsDataCompilation!$D$20:$D$36,MATCH(dataforsankey!$P393,PlasticsDataCompilation!$A$20:$A$36,0),1)*INDEX(PlasticsUse!$B$27:$L$43,MATCH(dataforsankey!$P393,PlasticsUse!$A$27:$A$43,0),MATCH($N393,PlasticsUse!$B$26:$L$26,0))</f>
        <v>0</v>
      </c>
      <c r="P393" t="s">
        <v>575</v>
      </c>
      <c r="S393" t="s">
        <v>335</v>
      </c>
      <c r="T393" t="s">
        <v>191</v>
      </c>
      <c r="U393" s="11">
        <f t="shared" si="32"/>
        <v>1.3465118581020181E-3</v>
      </c>
      <c r="V393" t="s">
        <v>10</v>
      </c>
      <c r="Y393" t="s">
        <v>891</v>
      </c>
      <c r="Z393" t="s">
        <v>38</v>
      </c>
      <c r="AA393" s="11">
        <f t="shared" si="30"/>
        <v>0</v>
      </c>
      <c r="AB393" t="s">
        <v>10</v>
      </c>
      <c r="AE393" t="s">
        <v>891</v>
      </c>
      <c r="AF393" t="s">
        <v>38</v>
      </c>
      <c r="AG393" s="11">
        <f t="shared" si="31"/>
        <v>0</v>
      </c>
      <c r="AH393" t="s">
        <v>10</v>
      </c>
    </row>
    <row r="394" spans="7:34" x14ac:dyDescent="0.2">
      <c r="G394" t="s">
        <v>68</v>
      </c>
      <c r="H394" t="s">
        <v>5</v>
      </c>
      <c r="I394">
        <f>SUMIFS('CompilationCalcs - EPA EOL'!$G$4:$G$264,'CompilationCalcs - EPA EOL'!$F$4:$F$264,dataforsankey!$H394,'CompilationCalcs - EPA EOL'!$A$4:$A$264,dataforsankey!$J394,'CompilationCalcs - EPA EOL'!$B$4:$B$264,dataforsankey!$G394)</f>
        <v>0</v>
      </c>
      <c r="J394" t="s">
        <v>122</v>
      </c>
      <c r="M394" t="s">
        <v>872</v>
      </c>
      <c r="N394" t="s">
        <v>103</v>
      </c>
      <c r="O394">
        <f>INDEX(PlasticsDataCompilation!$D$20:$D$36,MATCH(dataforsankey!$P394,PlasticsDataCompilation!$A$20:$A$36,0),1)*INDEX(PlasticsUse!$B$27:$L$43,MATCH(dataforsankey!$P394,PlasticsUse!$A$27:$A$43,0),MATCH($N394,PlasticsUse!$B$26:$L$26,0))</f>
        <v>0</v>
      </c>
      <c r="P394" t="s">
        <v>575</v>
      </c>
      <c r="S394" t="s">
        <v>335</v>
      </c>
      <c r="T394" t="s">
        <v>333</v>
      </c>
      <c r="U394" s="11">
        <f t="shared" si="32"/>
        <v>0</v>
      </c>
      <c r="V394" t="s">
        <v>10</v>
      </c>
      <c r="Y394" t="s">
        <v>891</v>
      </c>
      <c r="Z394" t="s">
        <v>99</v>
      </c>
      <c r="AA394" s="11">
        <f t="shared" si="30"/>
        <v>2.6701397680935712E-2</v>
      </c>
      <c r="AB394" t="s">
        <v>10</v>
      </c>
      <c r="AE394" t="s">
        <v>891</v>
      </c>
      <c r="AF394" t="s">
        <v>99</v>
      </c>
      <c r="AG394" s="11">
        <f t="shared" si="31"/>
        <v>2.6701397680935712E-2</v>
      </c>
      <c r="AH394" t="s">
        <v>10</v>
      </c>
    </row>
    <row r="395" spans="7:34" x14ac:dyDescent="0.2">
      <c r="G395" t="s">
        <v>68</v>
      </c>
      <c r="H395" t="s">
        <v>5</v>
      </c>
      <c r="I395">
        <f>SUMIFS('CompilationCalcs - EPA EOL'!$G$4:$G$264,'CompilationCalcs - EPA EOL'!$F$4:$F$264,dataforsankey!$H395,'CompilationCalcs - EPA EOL'!$A$4:$A$264,dataforsankey!$J395,'CompilationCalcs - EPA EOL'!$B$4:$B$264,dataforsankey!$G395)</f>
        <v>0</v>
      </c>
      <c r="J395" t="s">
        <v>82</v>
      </c>
      <c r="M395" t="s">
        <v>872</v>
      </c>
      <c r="N395" t="s">
        <v>86</v>
      </c>
      <c r="O395">
        <f>INDEX(PlasticsDataCompilation!$D$20:$D$36,MATCH(dataforsankey!$P395,PlasticsDataCompilation!$A$20:$A$36,0),1)*INDEX(PlasticsUse!$B$27:$L$43,MATCH(dataforsankey!$P395,PlasticsUse!$A$27:$A$43,0),MATCH($N395,PlasticsUse!$B$26:$L$26,0))</f>
        <v>0.98589352833803645</v>
      </c>
      <c r="P395" t="s">
        <v>575</v>
      </c>
      <c r="S395" t="s">
        <v>335</v>
      </c>
      <c r="T395" t="s">
        <v>6</v>
      </c>
      <c r="U395" s="11">
        <f t="shared" si="32"/>
        <v>0.13411794544206707</v>
      </c>
      <c r="V395" t="s">
        <v>10</v>
      </c>
      <c r="Y395" t="s">
        <v>891</v>
      </c>
      <c r="Z395" t="s">
        <v>69</v>
      </c>
      <c r="AA395" s="11">
        <f t="shared" si="30"/>
        <v>5.5475511373037238E-2</v>
      </c>
      <c r="AB395" t="s">
        <v>10</v>
      </c>
      <c r="AE395" t="s">
        <v>891</v>
      </c>
      <c r="AF395" t="s">
        <v>69</v>
      </c>
      <c r="AG395" s="11">
        <f t="shared" si="31"/>
        <v>5.5475511373037238E-2</v>
      </c>
      <c r="AH395" t="s">
        <v>10</v>
      </c>
    </row>
    <row r="396" spans="7:34" x14ac:dyDescent="0.2">
      <c r="G396" t="s">
        <v>68</v>
      </c>
      <c r="H396" t="s">
        <v>6</v>
      </c>
      <c r="I396">
        <f>SUMIFS('CompilationCalcs - EPA EOL'!$G$4:$G$264,'CompilationCalcs - EPA EOL'!$F$4:$F$264,dataforsankey!$H396,'CompilationCalcs - EPA EOL'!$A$4:$A$264,dataforsankey!$J396,'CompilationCalcs - EPA EOL'!$B$4:$B$264,dataforsankey!$G396)</f>
        <v>0</v>
      </c>
      <c r="J396" t="s">
        <v>0</v>
      </c>
      <c r="M396" t="s">
        <v>872</v>
      </c>
      <c r="N396" t="s">
        <v>18</v>
      </c>
      <c r="O396">
        <f>INDEX(PlasticsDataCompilation!$D$20:$D$36,MATCH(dataforsankey!$P396,PlasticsDataCompilation!$A$20:$A$36,0),1)*INDEX(PlasticsUse!$B$27:$L$43,MATCH(dataforsankey!$P396,PlasticsUse!$A$27:$A$43,0),MATCH($N396,PlasticsUse!$B$26:$L$26,0))</f>
        <v>0</v>
      </c>
      <c r="P396" t="s">
        <v>575</v>
      </c>
      <c r="S396" t="s">
        <v>335</v>
      </c>
      <c r="T396" t="s">
        <v>5</v>
      </c>
      <c r="U396" s="11">
        <f t="shared" si="32"/>
        <v>2.3101094065562752E-2</v>
      </c>
      <c r="V396" t="s">
        <v>10</v>
      </c>
      <c r="Y396" t="s">
        <v>891</v>
      </c>
      <c r="Z396" t="s">
        <v>100</v>
      </c>
      <c r="AA396" s="11">
        <f t="shared" si="30"/>
        <v>0</v>
      </c>
      <c r="AB396" t="s">
        <v>10</v>
      </c>
      <c r="AE396" t="s">
        <v>891</v>
      </c>
      <c r="AF396" t="s">
        <v>100</v>
      </c>
      <c r="AG396" s="11">
        <f t="shared" si="31"/>
        <v>0</v>
      </c>
      <c r="AH396" t="s">
        <v>10</v>
      </c>
    </row>
    <row r="397" spans="7:34" x14ac:dyDescent="0.2">
      <c r="G397" t="s">
        <v>68</v>
      </c>
      <c r="H397" t="s">
        <v>6</v>
      </c>
      <c r="I397">
        <f>SUMIFS('CompilationCalcs - EPA EOL'!$G$4:$G$264,'CompilationCalcs - EPA EOL'!$F$4:$F$264,dataforsankey!$H397,'CompilationCalcs - EPA EOL'!$A$4:$A$264,dataforsankey!$J397,'CompilationCalcs - EPA EOL'!$B$4:$B$264,dataforsankey!$G397)</f>
        <v>0</v>
      </c>
      <c r="J397" t="s">
        <v>2</v>
      </c>
      <c r="M397" t="str">
        <f>'CompilationCalcs - Di et al.EOL'!A4</f>
        <v>Polyurethane</v>
      </c>
      <c r="N397" t="str">
        <f>'CompilationCalcs - Di et al.EOL'!C4</f>
        <v>Building and Construction</v>
      </c>
      <c r="O397" s="11">
        <f>SUMIFS('CompilationCalcs - Di et al.EOL'!$D$4:$D$544,'CompilationCalcs - Di et al.EOL'!$A$4:$A$544,dataforsankey!$M397,'CompilationCalcs - Di et al.EOL'!$C$4:$C$544,$N397)</f>
        <v>2.26796</v>
      </c>
      <c r="P397" t="str">
        <f>M397</f>
        <v>Polyurethane</v>
      </c>
      <c r="S397" t="s">
        <v>335</v>
      </c>
      <c r="T397" t="s">
        <v>358</v>
      </c>
      <c r="U397" s="11">
        <f t="shared" si="32"/>
        <v>0</v>
      </c>
      <c r="V397" t="s">
        <v>10</v>
      </c>
      <c r="Y397" t="s">
        <v>891</v>
      </c>
      <c r="Z397" t="s">
        <v>39</v>
      </c>
      <c r="AA397" s="11">
        <f t="shared" si="30"/>
        <v>4.3341873458448157E-2</v>
      </c>
      <c r="AB397" t="s">
        <v>10</v>
      </c>
      <c r="AE397" t="s">
        <v>891</v>
      </c>
      <c r="AF397" t="s">
        <v>39</v>
      </c>
      <c r="AG397" s="11">
        <f t="shared" si="31"/>
        <v>4.3341873458448157E-2</v>
      </c>
      <c r="AH397" t="s">
        <v>10</v>
      </c>
    </row>
    <row r="398" spans="7:34" x14ac:dyDescent="0.2">
      <c r="G398" t="s">
        <v>68</v>
      </c>
      <c r="H398" t="s">
        <v>6</v>
      </c>
      <c r="I398">
        <f>SUMIFS('CompilationCalcs - EPA EOL'!$G$4:$G$264,'CompilationCalcs - EPA EOL'!$F$4:$F$264,dataforsankey!$H398,'CompilationCalcs - EPA EOL'!$A$4:$A$264,dataforsankey!$J398,'CompilationCalcs - EPA EOL'!$B$4:$B$264,dataforsankey!$G398)</f>
        <v>3.5536543963663465E-2</v>
      </c>
      <c r="J398" t="s">
        <v>1</v>
      </c>
      <c r="M398" t="str">
        <f>'CompilationCalcs - Di et al.EOL'!A5</f>
        <v>Polyurethane</v>
      </c>
      <c r="N398" t="str">
        <f>'CompilationCalcs - Di et al.EOL'!C5</f>
        <v>Furniture and Furnishings</v>
      </c>
      <c r="O398" s="11">
        <f>SUMIFS('CompilationCalcs - Di et al.EOL'!$D$4:$D$544,'CompilationCalcs - Di et al.EOL'!$A$4:$A$544,dataforsankey!$M398,'CompilationCalcs - Di et al.EOL'!$C$4:$C$544,$N398)</f>
        <v>2.26796</v>
      </c>
      <c r="P398" t="str">
        <f t="shared" ref="P398:P418" si="33">M398</f>
        <v>Polyurethane</v>
      </c>
      <c r="S398" t="s">
        <v>330</v>
      </c>
      <c r="T398" t="s">
        <v>191</v>
      </c>
      <c r="U398" s="11">
        <f t="shared" si="32"/>
        <v>1.926893193263355E-2</v>
      </c>
      <c r="V398" t="s">
        <v>11</v>
      </c>
      <c r="Y398" t="s">
        <v>891</v>
      </c>
      <c r="Z398" t="s">
        <v>68</v>
      </c>
      <c r="AA398" s="11">
        <f t="shared" si="30"/>
        <v>7.0842556392252717E-2</v>
      </c>
      <c r="AB398" t="s">
        <v>10</v>
      </c>
      <c r="AE398" t="s">
        <v>891</v>
      </c>
      <c r="AF398" t="s">
        <v>68</v>
      </c>
      <c r="AG398" s="11">
        <f t="shared" si="31"/>
        <v>7.0842556392252717E-2</v>
      </c>
      <c r="AH398" t="s">
        <v>10</v>
      </c>
    </row>
    <row r="399" spans="7:34" x14ac:dyDescent="0.2">
      <c r="G399" t="s">
        <v>68</v>
      </c>
      <c r="H399" t="s">
        <v>6</v>
      </c>
      <c r="I399">
        <f>SUMIFS('CompilationCalcs - EPA EOL'!$G$4:$G$264,'CompilationCalcs - EPA EOL'!$F$4:$F$264,dataforsankey!$H399,'CompilationCalcs - EPA EOL'!$A$4:$A$264,dataforsankey!$J399,'CompilationCalcs - EPA EOL'!$B$4:$B$264,dataforsankey!$G399)</f>
        <v>0</v>
      </c>
      <c r="J399" t="s">
        <v>7</v>
      </c>
      <c r="M399" t="str">
        <f>'CompilationCalcs - Di et al.EOL'!A6</f>
        <v>Polyurethane</v>
      </c>
      <c r="N399" t="str">
        <f>'CompilationCalcs - Di et al.EOL'!C6</f>
        <v>Transportation</v>
      </c>
      <c r="O399" s="11">
        <f>SUMIFS('CompilationCalcs - Di et al.EOL'!$D$4:$D$544,'CompilationCalcs - Di et al.EOL'!$A$4:$A$544,dataforsankey!$M399,'CompilationCalcs - Di et al.EOL'!$C$4:$C$544,$N399)</f>
        <v>2.26796</v>
      </c>
      <c r="P399" t="str">
        <f t="shared" si="33"/>
        <v>Polyurethane</v>
      </c>
      <c r="S399" t="s">
        <v>330</v>
      </c>
      <c r="T399" t="s">
        <v>333</v>
      </c>
      <c r="U399" s="11">
        <f t="shared" si="32"/>
        <v>5.3652294973927379E-2</v>
      </c>
      <c r="V399" t="s">
        <v>11</v>
      </c>
      <c r="Y399" t="s">
        <v>891</v>
      </c>
      <c r="Z399" t="s">
        <v>63</v>
      </c>
      <c r="AA399" s="11">
        <f t="shared" si="30"/>
        <v>2.6580878968088213E-2</v>
      </c>
      <c r="AB399" t="s">
        <v>10</v>
      </c>
      <c r="AE399" t="s">
        <v>891</v>
      </c>
      <c r="AF399" t="s">
        <v>63</v>
      </c>
      <c r="AG399" s="11">
        <f t="shared" si="31"/>
        <v>2.6580878968088213E-2</v>
      </c>
      <c r="AH399" t="s">
        <v>10</v>
      </c>
    </row>
    <row r="400" spans="7:34" x14ac:dyDescent="0.2">
      <c r="G400" t="s">
        <v>68</v>
      </c>
      <c r="H400" t="s">
        <v>6</v>
      </c>
      <c r="I400">
        <f>SUMIFS('CompilationCalcs - EPA EOL'!$G$4:$G$264,'CompilationCalcs - EPA EOL'!$F$4:$F$264,dataforsankey!$H400,'CompilationCalcs - EPA EOL'!$A$4:$A$264,dataforsankey!$J400,'CompilationCalcs - EPA EOL'!$B$4:$B$264,dataforsankey!$G400)</f>
        <v>0</v>
      </c>
      <c r="J400" t="s">
        <v>8</v>
      </c>
      <c r="M400" t="str">
        <f>'CompilationCalcs - Di et al.EOL'!A7</f>
        <v>Polyurethane</v>
      </c>
      <c r="N400" t="str">
        <f>'CompilationCalcs - Di et al.EOL'!C7</f>
        <v>Industrial/Machinery</v>
      </c>
      <c r="O400" s="11">
        <f>SUMIFS('CompilationCalcs - Di et al.EOL'!$D$4:$D$544,'CompilationCalcs - Di et al.EOL'!$A$4:$A$544,dataforsankey!$M400,'CompilationCalcs - Di et al.EOL'!$C$4:$C$544,$N400)</f>
        <v>2.26796</v>
      </c>
      <c r="P400" t="str">
        <f t="shared" si="33"/>
        <v>Polyurethane</v>
      </c>
      <c r="S400" t="s">
        <v>330</v>
      </c>
      <c r="T400" t="s">
        <v>6</v>
      </c>
      <c r="U400" s="11">
        <f t="shared" si="32"/>
        <v>1.197400952355947</v>
      </c>
      <c r="V400" t="s">
        <v>11</v>
      </c>
      <c r="Y400" t="s">
        <v>891</v>
      </c>
      <c r="Z400" t="s">
        <v>92</v>
      </c>
      <c r="AA400" s="11">
        <f t="shared" si="30"/>
        <v>0</v>
      </c>
      <c r="AB400" t="s">
        <v>10</v>
      </c>
      <c r="AE400" t="s">
        <v>891</v>
      </c>
      <c r="AF400" t="s">
        <v>92</v>
      </c>
      <c r="AG400" s="11">
        <f t="shared" si="31"/>
        <v>0</v>
      </c>
      <c r="AH400" t="s">
        <v>10</v>
      </c>
    </row>
    <row r="401" spans="7:34" x14ac:dyDescent="0.2">
      <c r="G401" t="s">
        <v>68</v>
      </c>
      <c r="H401" t="s">
        <v>6</v>
      </c>
      <c r="I401">
        <f>SUMIFS('CompilationCalcs - EPA EOL'!$G$4:$G$264,'CompilationCalcs - EPA EOL'!$F$4:$F$264,dataforsankey!$H401,'CompilationCalcs - EPA EOL'!$A$4:$A$264,dataforsankey!$J401,'CompilationCalcs - EPA EOL'!$B$4:$B$264,dataforsankey!$G401)</f>
        <v>0</v>
      </c>
      <c r="J401" t="s">
        <v>9</v>
      </c>
      <c r="M401" t="str">
        <f>'CompilationCalcs - Di et al.EOL'!A8</f>
        <v>Polyurethane</v>
      </c>
      <c r="N401" t="str">
        <f>'CompilationCalcs - Di et al.EOL'!C8</f>
        <v>Packaging</v>
      </c>
      <c r="O401" s="11">
        <f>SUMIFS('CompilationCalcs - Di et al.EOL'!$D$4:$D$544,'CompilationCalcs - Di et al.EOL'!$A$4:$A$544,dataforsankey!$M401,'CompilationCalcs - Di et al.EOL'!$C$4:$C$544,$N401)</f>
        <v>2.26796</v>
      </c>
      <c r="P401" t="str">
        <f t="shared" si="33"/>
        <v>Polyurethane</v>
      </c>
      <c r="S401" t="s">
        <v>330</v>
      </c>
      <c r="T401" t="s">
        <v>5</v>
      </c>
      <c r="U401" s="11">
        <f t="shared" si="32"/>
        <v>0.26262840560033873</v>
      </c>
      <c r="V401" t="s">
        <v>11</v>
      </c>
      <c r="Y401" t="s">
        <v>891</v>
      </c>
      <c r="Z401" t="s">
        <v>103</v>
      </c>
      <c r="AA401" s="11">
        <f t="shared" si="30"/>
        <v>0</v>
      </c>
      <c r="AB401" t="s">
        <v>10</v>
      </c>
      <c r="AE401" t="s">
        <v>891</v>
      </c>
      <c r="AF401" t="s">
        <v>103</v>
      </c>
      <c r="AG401" s="11">
        <f t="shared" si="31"/>
        <v>0</v>
      </c>
      <c r="AH401" t="s">
        <v>10</v>
      </c>
    </row>
    <row r="402" spans="7:34" x14ac:dyDescent="0.2">
      <c r="G402" t="s">
        <v>68</v>
      </c>
      <c r="H402" t="s">
        <v>6</v>
      </c>
      <c r="I402">
        <f>SUMIFS('CompilationCalcs - EPA EOL'!$G$4:$G$264,'CompilationCalcs - EPA EOL'!$F$4:$F$264,dataforsankey!$H402,'CompilationCalcs - EPA EOL'!$A$4:$A$264,dataforsankey!$J402,'CompilationCalcs - EPA EOL'!$B$4:$B$264,dataforsankey!$G402)</f>
        <v>0</v>
      </c>
      <c r="J402" t="s">
        <v>10</v>
      </c>
      <c r="M402" t="str">
        <f>'CompilationCalcs - Di et al.EOL'!A9</f>
        <v>Polyurethane</v>
      </c>
      <c r="N402" t="str">
        <f>'CompilationCalcs - Di et al.EOL'!C9</f>
        <v>Electrical/Electronic</v>
      </c>
      <c r="O402" s="11">
        <f>SUMIFS('CompilationCalcs - Di et al.EOL'!$D$4:$D$544,'CompilationCalcs - Di et al.EOL'!$A$4:$A$544,dataforsankey!$M402,'CompilationCalcs - Di et al.EOL'!$C$4:$C$544,$N402)</f>
        <v>2.26796</v>
      </c>
      <c r="P402" t="str">
        <f t="shared" si="33"/>
        <v>Polyurethane</v>
      </c>
      <c r="S402" t="s">
        <v>330</v>
      </c>
      <c r="T402" t="s">
        <v>358</v>
      </c>
      <c r="U402" s="11">
        <f t="shared" si="32"/>
        <v>0</v>
      </c>
      <c r="V402" t="s">
        <v>11</v>
      </c>
      <c r="Y402" t="s">
        <v>891</v>
      </c>
      <c r="Z402" t="s">
        <v>86</v>
      </c>
      <c r="AA402" s="11">
        <f t="shared" ref="AA402:AA465" si="34">SUMIFS($O$23:$O$953,$M$23:$M$953,Y402,$N$23:$N$953,Z402,$P$23:$P$953,AB402)</f>
        <v>0</v>
      </c>
      <c r="AB402" t="s">
        <v>10</v>
      </c>
      <c r="AE402" t="s">
        <v>891</v>
      </c>
      <c r="AF402" t="s">
        <v>86</v>
      </c>
      <c r="AG402" s="11">
        <f t="shared" ref="AG402:AG465" si="35">SUMIFS($O$23:$O$953,$M$23:$M$953,AE402,$N$23:$N$953,AF402,$P$23:$P$953,AH402)</f>
        <v>0</v>
      </c>
      <c r="AH402" t="s">
        <v>10</v>
      </c>
    </row>
    <row r="403" spans="7:34" x14ac:dyDescent="0.2">
      <c r="G403" t="s">
        <v>68</v>
      </c>
      <c r="H403" t="s">
        <v>6</v>
      </c>
      <c r="I403">
        <f>SUMIFS('CompilationCalcs - EPA EOL'!$G$4:$G$264,'CompilationCalcs - EPA EOL'!$F$4:$F$264,dataforsankey!$H403,'CompilationCalcs - EPA EOL'!$A$4:$A$264,dataforsankey!$J403,'CompilationCalcs - EPA EOL'!$B$4:$B$264,dataforsankey!$G403)</f>
        <v>0</v>
      </c>
      <c r="J403" t="s">
        <v>11</v>
      </c>
      <c r="M403" t="str">
        <f>'CompilationCalcs - Di et al.EOL'!A10</f>
        <v>Polyurethane</v>
      </c>
      <c r="N403" t="str">
        <f>'CompilationCalcs - Di et al.EOL'!C10</f>
        <v>Consumer and Institutional</v>
      </c>
      <c r="O403" s="11">
        <f>SUMIFS('CompilationCalcs - Di et al.EOL'!$D$4:$D$544,'CompilationCalcs - Di et al.EOL'!$A$4:$A$544,dataforsankey!$M403,'CompilationCalcs - Di et al.EOL'!$C$4:$C$544,$N403)</f>
        <v>2.26796</v>
      </c>
      <c r="P403" t="str">
        <f t="shared" si="33"/>
        <v>Polyurethane</v>
      </c>
      <c r="S403" t="s">
        <v>335</v>
      </c>
      <c r="T403" t="s">
        <v>191</v>
      </c>
      <c r="U403" s="11">
        <f t="shared" si="32"/>
        <v>1.9268546561702314E-3</v>
      </c>
      <c r="V403" t="s">
        <v>11</v>
      </c>
      <c r="Y403" t="s">
        <v>891</v>
      </c>
      <c r="Z403" t="s">
        <v>18</v>
      </c>
      <c r="AA403" s="11">
        <f t="shared" si="34"/>
        <v>0</v>
      </c>
      <c r="AB403" t="s">
        <v>10</v>
      </c>
      <c r="AE403" t="s">
        <v>891</v>
      </c>
      <c r="AF403" t="s">
        <v>18</v>
      </c>
      <c r="AG403" s="11">
        <f t="shared" si="35"/>
        <v>0</v>
      </c>
      <c r="AH403" t="s">
        <v>10</v>
      </c>
    </row>
    <row r="404" spans="7:34" x14ac:dyDescent="0.2">
      <c r="G404" t="s">
        <v>68</v>
      </c>
      <c r="H404" t="s">
        <v>6</v>
      </c>
      <c r="I404">
        <f>SUMIFS('CompilationCalcs - EPA EOL'!$G$4:$G$264,'CompilationCalcs - EPA EOL'!$F$4:$F$264,dataforsankey!$H404,'CompilationCalcs - EPA EOL'!$A$4:$A$264,dataforsankey!$J404,'CompilationCalcs - EPA EOL'!$B$4:$B$264,dataforsankey!$G404)</f>
        <v>0</v>
      </c>
      <c r="J404" t="s">
        <v>127</v>
      </c>
      <c r="M404" t="str">
        <f>'CompilationCalcs - Di et al.EOL'!A11</f>
        <v>Polyurethane</v>
      </c>
      <c r="N404" t="str">
        <f>'CompilationCalcs - Di et al.EOL'!C11</f>
        <v>Adhesives/Inks/Coatings</v>
      </c>
      <c r="O404" s="11">
        <f>SUMIFS('CompilationCalcs - Di et al.EOL'!$D$4:$D$544,'CompilationCalcs - Di et al.EOL'!$A$4:$A$544,dataforsankey!$M404,'CompilationCalcs - Di et al.EOL'!$C$4:$C$544,$N404)</f>
        <v>2.26796</v>
      </c>
      <c r="P404" t="str">
        <f t="shared" si="33"/>
        <v>Polyurethane</v>
      </c>
      <c r="S404" t="s">
        <v>335</v>
      </c>
      <c r="T404" t="s">
        <v>333</v>
      </c>
      <c r="U404" s="11">
        <f t="shared" si="32"/>
        <v>0</v>
      </c>
      <c r="V404" t="s">
        <v>11</v>
      </c>
      <c r="Y404" t="s">
        <v>891</v>
      </c>
      <c r="Z404" t="s">
        <v>38</v>
      </c>
      <c r="AA404" s="11">
        <f t="shared" si="34"/>
        <v>0</v>
      </c>
      <c r="AB404" t="s">
        <v>11</v>
      </c>
      <c r="AE404" t="s">
        <v>891</v>
      </c>
      <c r="AF404" t="s">
        <v>38</v>
      </c>
      <c r="AG404" s="11">
        <f t="shared" si="35"/>
        <v>0</v>
      </c>
      <c r="AH404" t="s">
        <v>11</v>
      </c>
    </row>
    <row r="405" spans="7:34" x14ac:dyDescent="0.2">
      <c r="G405" t="s">
        <v>68</v>
      </c>
      <c r="H405" t="s">
        <v>6</v>
      </c>
      <c r="I405">
        <f>SUMIFS('CompilationCalcs - EPA EOL'!$G$4:$G$264,'CompilationCalcs - EPA EOL'!$F$4:$F$264,dataforsankey!$H405,'CompilationCalcs - EPA EOL'!$A$4:$A$264,dataforsankey!$J405,'CompilationCalcs - EPA EOL'!$B$4:$B$264,dataforsankey!$G405)</f>
        <v>0</v>
      </c>
      <c r="J405" t="s">
        <v>122</v>
      </c>
      <c r="M405" t="str">
        <f>'CompilationCalcs - Di et al.EOL'!A12</f>
        <v>Polyurethane</v>
      </c>
      <c r="N405" t="str">
        <f>'CompilationCalcs - Di et al.EOL'!C12</f>
        <v>Textiles, Fibers and Apparel</v>
      </c>
      <c r="O405" s="11">
        <f>SUMIFS('CompilationCalcs - Di et al.EOL'!$D$4:$D$544,'CompilationCalcs - Di et al.EOL'!$A$4:$A$544,dataforsankey!$M405,'CompilationCalcs - Di et al.EOL'!$C$4:$C$544,$N405)</f>
        <v>2.26796</v>
      </c>
      <c r="P405" t="str">
        <f t="shared" si="33"/>
        <v>Polyurethane</v>
      </c>
      <c r="S405" t="s">
        <v>335</v>
      </c>
      <c r="T405" t="s">
        <v>6</v>
      </c>
      <c r="U405" s="11">
        <f t="shared" si="32"/>
        <v>0.11973770048158508</v>
      </c>
      <c r="V405" t="s">
        <v>11</v>
      </c>
      <c r="Y405" t="s">
        <v>891</v>
      </c>
      <c r="Z405" t="s">
        <v>99</v>
      </c>
      <c r="AA405" s="11">
        <f t="shared" si="34"/>
        <v>2.4909913670409754E-2</v>
      </c>
      <c r="AB405" t="s">
        <v>11</v>
      </c>
      <c r="AE405" t="s">
        <v>891</v>
      </c>
      <c r="AF405" t="s">
        <v>99</v>
      </c>
      <c r="AG405" s="11">
        <f t="shared" si="35"/>
        <v>2.4909913670409754E-2</v>
      </c>
      <c r="AH405" t="s">
        <v>11</v>
      </c>
    </row>
    <row r="406" spans="7:34" x14ac:dyDescent="0.2">
      <c r="G406" t="s">
        <v>68</v>
      </c>
      <c r="H406" t="s">
        <v>6</v>
      </c>
      <c r="I406">
        <f>SUMIFS('CompilationCalcs - EPA EOL'!$G$4:$G$264,'CompilationCalcs - EPA EOL'!$F$4:$F$264,dataforsankey!$H406,'CompilationCalcs - EPA EOL'!$A$4:$A$264,dataforsankey!$J406,'CompilationCalcs - EPA EOL'!$B$4:$B$264,dataforsankey!$G406)</f>
        <v>0</v>
      </c>
      <c r="J406" t="s">
        <v>82</v>
      </c>
      <c r="M406" t="str">
        <f>'CompilationCalcs - Di et al.EOL'!A13</f>
        <v>Polyurethane</v>
      </c>
      <c r="N406" t="str">
        <f>'CompilationCalcs - Di et al.EOL'!C13</f>
        <v>Other End Use Markets</v>
      </c>
      <c r="O406" s="11">
        <f>SUMIFS('CompilationCalcs - Di et al.EOL'!$D$4:$D$544,'CompilationCalcs - Di et al.EOL'!$A$4:$A$544,dataforsankey!$M406,'CompilationCalcs - Di et al.EOL'!$C$4:$C$544,$N406)</f>
        <v>2.26796</v>
      </c>
      <c r="P406" t="str">
        <f t="shared" si="33"/>
        <v>Polyurethane</v>
      </c>
      <c r="S406" t="s">
        <v>335</v>
      </c>
      <c r="T406" t="s">
        <v>5</v>
      </c>
      <c r="U406" s="11">
        <f t="shared" si="32"/>
        <v>2.6262315313727597E-2</v>
      </c>
      <c r="V406" t="s">
        <v>11</v>
      </c>
      <c r="Y406" t="s">
        <v>891</v>
      </c>
      <c r="Z406" t="s">
        <v>69</v>
      </c>
      <c r="AA406" s="11">
        <f t="shared" si="34"/>
        <v>5.1753478062717115E-2</v>
      </c>
      <c r="AB406" t="s">
        <v>11</v>
      </c>
      <c r="AE406" t="s">
        <v>891</v>
      </c>
      <c r="AF406" t="s">
        <v>69</v>
      </c>
      <c r="AG406" s="11">
        <f t="shared" si="35"/>
        <v>5.1753478062717115E-2</v>
      </c>
      <c r="AH406" t="s">
        <v>11</v>
      </c>
    </row>
    <row r="407" spans="7:34" x14ac:dyDescent="0.2">
      <c r="G407" t="s">
        <v>91</v>
      </c>
      <c r="H407" t="s">
        <v>4</v>
      </c>
      <c r="I407">
        <f>SUMIFS('CompilationCalcs - EPA EOL'!$G$4:$G$264,'CompilationCalcs - EPA EOL'!$F$4:$F$264,dataforsankey!$H407,'CompilationCalcs - EPA EOL'!$A$4:$A$264,dataforsankey!$J407,'CompilationCalcs - EPA EOL'!$B$4:$B$264,dataforsankey!$G407)</f>
        <v>0</v>
      </c>
      <c r="J407" t="s">
        <v>0</v>
      </c>
      <c r="M407" t="str">
        <f>'CompilationCalcs - Di et al.EOL'!A14</f>
        <v>Polyurethane</v>
      </c>
      <c r="N407" t="str">
        <f>'CompilationCalcs - Di et al.EOL'!C14</f>
        <v>Exports</v>
      </c>
      <c r="O407" s="11">
        <f>SUMIFS('CompilationCalcs - Di et al.EOL'!$D$4:$D$544,'CompilationCalcs - Di et al.EOL'!$A$4:$A$544,dataforsankey!$M407,'CompilationCalcs - Di et al.EOL'!$C$4:$C$544,$N407)</f>
        <v>2.26796</v>
      </c>
      <c r="P407" t="str">
        <f t="shared" si="33"/>
        <v>Polyurethane</v>
      </c>
      <c r="S407" t="s">
        <v>335</v>
      </c>
      <c r="T407" t="s">
        <v>358</v>
      </c>
      <c r="U407" s="11">
        <f t="shared" ref="U407:U470" si="36">SUMIFS($O$23:$O$935,$M$23:$M$935,S407,$N$23:$N$935,T407,$P$23:$P$935,V407)</f>
        <v>0</v>
      </c>
      <c r="V407" t="s">
        <v>11</v>
      </c>
      <c r="Y407" t="s">
        <v>891</v>
      </c>
      <c r="Z407" t="s">
        <v>100</v>
      </c>
      <c r="AA407" s="11">
        <f t="shared" si="34"/>
        <v>0</v>
      </c>
      <c r="AB407" t="s">
        <v>11</v>
      </c>
      <c r="AE407" t="s">
        <v>891</v>
      </c>
      <c r="AF407" t="s">
        <v>100</v>
      </c>
      <c r="AG407" s="11">
        <f t="shared" si="35"/>
        <v>0</v>
      </c>
      <c r="AH407" t="s">
        <v>11</v>
      </c>
    </row>
    <row r="408" spans="7:34" x14ac:dyDescent="0.2">
      <c r="G408" t="s">
        <v>91</v>
      </c>
      <c r="H408" t="s">
        <v>4</v>
      </c>
      <c r="I408" t="e">
        <f>SUMIFS('CompilationCalcs - EPA EOL'!$G$4:$G$264,'CompilationCalcs - EPA EOL'!$F$4:$F$264,dataforsankey!$H408,'CompilationCalcs - EPA EOL'!$A$4:$A$264,dataforsankey!$J408,'CompilationCalcs - EPA EOL'!$B$4:$B$264,dataforsankey!$G408)</f>
        <v>#N/A</v>
      </c>
      <c r="J408" t="s">
        <v>2</v>
      </c>
      <c r="M408" t="str">
        <f>'CompilationCalcs - Di et al.EOL'!A40</f>
        <v>Other thermosets</v>
      </c>
      <c r="N408" t="str">
        <f>'CompilationCalcs - Di et al.EOL'!C40</f>
        <v>Building and Construction</v>
      </c>
      <c r="O408" s="11">
        <f>SUMIFS('CompilationCalcs - Di et al.EOL'!$D$4:$D$544,'CompilationCalcs - Di et al.EOL'!$A$4:$A$544,dataforsankey!$M408,'CompilationCalcs - Di et al.EOL'!$C$4:$C$544,$N408)</f>
        <v>0</v>
      </c>
      <c r="P408" t="str">
        <f t="shared" si="33"/>
        <v>Other thermosets</v>
      </c>
      <c r="S408" t="s">
        <v>330</v>
      </c>
      <c r="T408" t="s">
        <v>191</v>
      </c>
      <c r="U408" s="11">
        <f t="shared" si="36"/>
        <v>1.9787044388802362E-2</v>
      </c>
      <c r="V408" t="s">
        <v>25</v>
      </c>
      <c r="Y408" t="s">
        <v>891</v>
      </c>
      <c r="Z408" t="s">
        <v>39</v>
      </c>
      <c r="AA408" s="11">
        <f t="shared" si="34"/>
        <v>4.0433925559432857E-2</v>
      </c>
      <c r="AB408" t="s">
        <v>11</v>
      </c>
      <c r="AE408" t="s">
        <v>891</v>
      </c>
      <c r="AF408" t="s">
        <v>39</v>
      </c>
      <c r="AG408" s="11">
        <f t="shared" si="35"/>
        <v>4.0433925559432857E-2</v>
      </c>
      <c r="AH408" t="s">
        <v>11</v>
      </c>
    </row>
    <row r="409" spans="7:34" x14ac:dyDescent="0.2">
      <c r="G409" t="s">
        <v>91</v>
      </c>
      <c r="H409" t="s">
        <v>4</v>
      </c>
      <c r="I409" t="e">
        <f>SUMIFS('CompilationCalcs - EPA EOL'!$G$4:$G$264,'CompilationCalcs - EPA EOL'!$F$4:$F$264,dataforsankey!$H409,'CompilationCalcs - EPA EOL'!$A$4:$A$264,dataforsankey!$J409,'CompilationCalcs - EPA EOL'!$B$4:$B$264,dataforsankey!$G409)</f>
        <v>#N/A</v>
      </c>
      <c r="J409" t="s">
        <v>1</v>
      </c>
      <c r="M409" t="str">
        <f>'CompilationCalcs - Di et al.EOL'!A41</f>
        <v>Other thermosets</v>
      </c>
      <c r="N409" t="str">
        <f>'CompilationCalcs - Di et al.EOL'!C41</f>
        <v>Furniture and Furnishings</v>
      </c>
      <c r="O409" s="11">
        <f>SUMIFS('CompilationCalcs - Di et al.EOL'!$D$4:$D$544,'CompilationCalcs - Di et al.EOL'!$A$4:$A$544,dataforsankey!$M409,'CompilationCalcs - Di et al.EOL'!$C$4:$C$544,$N409)</f>
        <v>0</v>
      </c>
      <c r="P409" t="str">
        <f t="shared" si="33"/>
        <v>Other thermosets</v>
      </c>
      <c r="S409" t="s">
        <v>330</v>
      </c>
      <c r="T409" t="s">
        <v>333</v>
      </c>
      <c r="U409" s="11">
        <f t="shared" si="36"/>
        <v>5.5094924094483723E-2</v>
      </c>
      <c r="V409" t="s">
        <v>25</v>
      </c>
      <c r="Y409" t="s">
        <v>891</v>
      </c>
      <c r="Z409" t="s">
        <v>68</v>
      </c>
      <c r="AA409" s="11">
        <f t="shared" si="34"/>
        <v>6.6089497823632645E-2</v>
      </c>
      <c r="AB409" t="s">
        <v>11</v>
      </c>
      <c r="AE409" t="s">
        <v>891</v>
      </c>
      <c r="AF409" t="s">
        <v>68</v>
      </c>
      <c r="AG409" s="11">
        <f t="shared" si="35"/>
        <v>6.6089497823632645E-2</v>
      </c>
      <c r="AH409" t="s">
        <v>11</v>
      </c>
    </row>
    <row r="410" spans="7:34" x14ac:dyDescent="0.2">
      <c r="G410" t="s">
        <v>91</v>
      </c>
      <c r="H410" t="s">
        <v>4</v>
      </c>
      <c r="I410" t="e">
        <f>SUMIFS('CompilationCalcs - EPA EOL'!$G$4:$G$264,'CompilationCalcs - EPA EOL'!$F$4:$F$264,dataforsankey!$H410,'CompilationCalcs - EPA EOL'!$A$4:$A$264,dataforsankey!$J410,'CompilationCalcs - EPA EOL'!$B$4:$B$264,dataforsankey!$G410)</f>
        <v>#N/A</v>
      </c>
      <c r="J410" t="s">
        <v>7</v>
      </c>
      <c r="M410" t="str">
        <f>'CompilationCalcs - Di et al.EOL'!A42</f>
        <v>Other thermosets</v>
      </c>
      <c r="N410" t="str">
        <f>'CompilationCalcs - Di et al.EOL'!C42</f>
        <v>Transportation</v>
      </c>
      <c r="O410" s="11">
        <f>SUMIFS('CompilationCalcs - Di et al.EOL'!$D$4:$D$544,'CompilationCalcs - Di et al.EOL'!$A$4:$A$544,dataforsankey!$M410,'CompilationCalcs - Di et al.EOL'!$C$4:$C$544,$N410)</f>
        <v>0</v>
      </c>
      <c r="P410" t="str">
        <f t="shared" si="33"/>
        <v>Other thermosets</v>
      </c>
      <c r="S410" t="s">
        <v>330</v>
      </c>
      <c r="T410" t="s">
        <v>6</v>
      </c>
      <c r="U410" s="11">
        <f t="shared" si="36"/>
        <v>1.2295972541859066</v>
      </c>
      <c r="V410" t="s">
        <v>25</v>
      </c>
      <c r="Y410" t="s">
        <v>891</v>
      </c>
      <c r="Z410" t="s">
        <v>63</v>
      </c>
      <c r="AA410" s="11">
        <f t="shared" si="34"/>
        <v>2.4797480951771828E-2</v>
      </c>
      <c r="AB410" t="s">
        <v>11</v>
      </c>
      <c r="AE410" t="s">
        <v>891</v>
      </c>
      <c r="AF410" t="s">
        <v>63</v>
      </c>
      <c r="AG410" s="11">
        <f t="shared" si="35"/>
        <v>2.4797480951771828E-2</v>
      </c>
      <c r="AH410" t="s">
        <v>11</v>
      </c>
    </row>
    <row r="411" spans="7:34" x14ac:dyDescent="0.2">
      <c r="G411" t="s">
        <v>91</v>
      </c>
      <c r="H411" t="s">
        <v>4</v>
      </c>
      <c r="I411" t="e">
        <f>SUMIFS('CompilationCalcs - EPA EOL'!$G$4:$G$264,'CompilationCalcs - EPA EOL'!$F$4:$F$264,dataforsankey!$H411,'CompilationCalcs - EPA EOL'!$A$4:$A$264,dataforsankey!$J411,'CompilationCalcs - EPA EOL'!$B$4:$B$264,dataforsankey!$G411)</f>
        <v>#N/A</v>
      </c>
      <c r="J411" t="s">
        <v>8</v>
      </c>
      <c r="M411" t="str">
        <f>'CompilationCalcs - Di et al.EOL'!A43</f>
        <v>Other thermosets</v>
      </c>
      <c r="N411" t="str">
        <f>'CompilationCalcs - Di et al.EOL'!C43</f>
        <v>Industrial/Machinery</v>
      </c>
      <c r="O411" s="11">
        <f>SUMIFS('CompilationCalcs - Di et al.EOL'!$D$4:$D$544,'CompilationCalcs - Di et al.EOL'!$A$4:$A$544,dataforsankey!$M411,'CompilationCalcs - Di et al.EOL'!$C$4:$C$544,$N411)</f>
        <v>0</v>
      </c>
      <c r="P411" t="str">
        <f t="shared" si="33"/>
        <v>Other thermosets</v>
      </c>
      <c r="S411" t="s">
        <v>330</v>
      </c>
      <c r="T411" t="s">
        <v>5</v>
      </c>
      <c r="U411" s="11">
        <f t="shared" si="36"/>
        <v>0.26969008648441734</v>
      </c>
      <c r="V411" t="s">
        <v>25</v>
      </c>
      <c r="Y411" t="s">
        <v>891</v>
      </c>
      <c r="Z411" t="s">
        <v>92</v>
      </c>
      <c r="AA411" s="11">
        <f t="shared" si="34"/>
        <v>0</v>
      </c>
      <c r="AB411" t="s">
        <v>11</v>
      </c>
      <c r="AE411" t="s">
        <v>891</v>
      </c>
      <c r="AF411" t="s">
        <v>92</v>
      </c>
      <c r="AG411" s="11">
        <f t="shared" si="35"/>
        <v>0</v>
      </c>
      <c r="AH411" t="s">
        <v>11</v>
      </c>
    </row>
    <row r="412" spans="7:34" x14ac:dyDescent="0.2">
      <c r="G412" t="s">
        <v>91</v>
      </c>
      <c r="H412" t="s">
        <v>4</v>
      </c>
      <c r="I412">
        <f>SUMIFS('CompilationCalcs - EPA EOL'!$G$4:$G$264,'CompilationCalcs - EPA EOL'!$F$4:$F$264,dataforsankey!$H412,'CompilationCalcs - EPA EOL'!$A$4:$A$264,dataforsankey!$J412,'CompilationCalcs - EPA EOL'!$B$4:$B$264,dataforsankey!$G412)</f>
        <v>0</v>
      </c>
      <c r="J412" t="s">
        <v>9</v>
      </c>
      <c r="M412" t="str">
        <f>'CompilationCalcs - Di et al.EOL'!A44</f>
        <v>Other thermosets</v>
      </c>
      <c r="N412" t="str">
        <f>'CompilationCalcs - Di et al.EOL'!C44</f>
        <v>Packaging</v>
      </c>
      <c r="O412" s="11">
        <f>SUMIFS('CompilationCalcs - Di et al.EOL'!$D$4:$D$544,'CompilationCalcs - Di et al.EOL'!$A$4:$A$544,dataforsankey!$M412,'CompilationCalcs - Di et al.EOL'!$C$4:$C$544,$N412)</f>
        <v>0</v>
      </c>
      <c r="P412" t="str">
        <f t="shared" si="33"/>
        <v>Other thermosets</v>
      </c>
      <c r="S412" t="s">
        <v>330</v>
      </c>
      <c r="T412" t="s">
        <v>358</v>
      </c>
      <c r="U412" s="11">
        <f t="shared" si="36"/>
        <v>0</v>
      </c>
      <c r="V412" t="s">
        <v>25</v>
      </c>
      <c r="Y412" t="s">
        <v>891</v>
      </c>
      <c r="Z412" t="s">
        <v>103</v>
      </c>
      <c r="AA412" s="11">
        <f t="shared" si="34"/>
        <v>0</v>
      </c>
      <c r="AB412" t="s">
        <v>11</v>
      </c>
      <c r="AE412" t="s">
        <v>891</v>
      </c>
      <c r="AF412" t="s">
        <v>103</v>
      </c>
      <c r="AG412" s="11">
        <f t="shared" si="35"/>
        <v>0</v>
      </c>
      <c r="AH412" t="s">
        <v>11</v>
      </c>
    </row>
    <row r="413" spans="7:34" x14ac:dyDescent="0.2">
      <c r="G413" t="s">
        <v>91</v>
      </c>
      <c r="H413" t="s">
        <v>4</v>
      </c>
      <c r="I413" t="e">
        <f>SUMIFS('CompilationCalcs - EPA EOL'!$G$4:$G$264,'CompilationCalcs - EPA EOL'!$F$4:$F$264,dataforsankey!$H413,'CompilationCalcs - EPA EOL'!$A$4:$A$264,dataforsankey!$J413,'CompilationCalcs - EPA EOL'!$B$4:$B$264,dataforsankey!$G413)</f>
        <v>#N/A</v>
      </c>
      <c r="J413" t="s">
        <v>10</v>
      </c>
      <c r="M413" t="str">
        <f>'CompilationCalcs - Di et al.EOL'!A45</f>
        <v>Other thermosets</v>
      </c>
      <c r="N413" t="str">
        <f>'CompilationCalcs - Di et al.EOL'!C45</f>
        <v>Electrical/Electronic</v>
      </c>
      <c r="O413" s="11">
        <f>SUMIFS('CompilationCalcs - Di et al.EOL'!$D$4:$D$544,'CompilationCalcs - Di et al.EOL'!$A$4:$A$544,dataforsankey!$M413,'CompilationCalcs - Di et al.EOL'!$C$4:$C$544,$N413)</f>
        <v>0</v>
      </c>
      <c r="P413" t="str">
        <f t="shared" si="33"/>
        <v>Other thermosets</v>
      </c>
      <c r="S413" t="s">
        <v>335</v>
      </c>
      <c r="T413" t="s">
        <v>191</v>
      </c>
      <c r="U413" s="11">
        <f t="shared" si="36"/>
        <v>1.9786648655829241E-3</v>
      </c>
      <c r="V413" t="s">
        <v>25</v>
      </c>
      <c r="Y413" t="s">
        <v>891</v>
      </c>
      <c r="Z413" t="s">
        <v>86</v>
      </c>
      <c r="AA413" s="11">
        <f t="shared" si="34"/>
        <v>0</v>
      </c>
      <c r="AB413" t="s">
        <v>11</v>
      </c>
      <c r="AE413" t="s">
        <v>891</v>
      </c>
      <c r="AF413" t="s">
        <v>86</v>
      </c>
      <c r="AG413" s="11">
        <f t="shared" si="35"/>
        <v>0</v>
      </c>
      <c r="AH413" t="s">
        <v>11</v>
      </c>
    </row>
    <row r="414" spans="7:34" x14ac:dyDescent="0.2">
      <c r="G414" t="s">
        <v>91</v>
      </c>
      <c r="H414" t="s">
        <v>4</v>
      </c>
      <c r="I414" t="e">
        <f>SUMIFS('CompilationCalcs - EPA EOL'!$G$4:$G$264,'CompilationCalcs - EPA EOL'!$F$4:$F$264,dataforsankey!$H414,'CompilationCalcs - EPA EOL'!$A$4:$A$264,dataforsankey!$J414,'CompilationCalcs - EPA EOL'!$B$4:$B$264,dataforsankey!$G414)</f>
        <v>#N/A</v>
      </c>
      <c r="J414" t="s">
        <v>11</v>
      </c>
      <c r="M414" t="str">
        <f>'CompilationCalcs - Di et al.EOL'!A46</f>
        <v>Other thermosets</v>
      </c>
      <c r="N414" t="str">
        <f>'CompilationCalcs - Di et al.EOL'!C46</f>
        <v>Consumer and Institutional</v>
      </c>
      <c r="O414" s="11">
        <f>SUMIFS('CompilationCalcs - Di et al.EOL'!$D$4:$D$544,'CompilationCalcs - Di et al.EOL'!$A$4:$A$544,dataforsankey!$M414,'CompilationCalcs - Di et al.EOL'!$C$4:$C$544,$N414)</f>
        <v>0</v>
      </c>
      <c r="P414" t="str">
        <f t="shared" si="33"/>
        <v>Other thermosets</v>
      </c>
      <c r="S414" t="s">
        <v>335</v>
      </c>
      <c r="T414" t="s">
        <v>333</v>
      </c>
      <c r="U414" s="11">
        <f t="shared" si="36"/>
        <v>0</v>
      </c>
      <c r="V414" t="s">
        <v>25</v>
      </c>
      <c r="Y414" t="s">
        <v>891</v>
      </c>
      <c r="Z414" t="s">
        <v>18</v>
      </c>
      <c r="AA414" s="11">
        <f t="shared" si="34"/>
        <v>0</v>
      </c>
      <c r="AB414" t="s">
        <v>11</v>
      </c>
      <c r="AE414" t="s">
        <v>891</v>
      </c>
      <c r="AF414" t="s">
        <v>18</v>
      </c>
      <c r="AG414" s="11">
        <f t="shared" si="35"/>
        <v>0</v>
      </c>
      <c r="AH414" t="s">
        <v>11</v>
      </c>
    </row>
    <row r="415" spans="7:34" x14ac:dyDescent="0.2">
      <c r="G415" t="s">
        <v>91</v>
      </c>
      <c r="H415" t="s">
        <v>4</v>
      </c>
      <c r="I415">
        <f>SUMIFS('CompilationCalcs - EPA EOL'!$G$4:$G$264,'CompilationCalcs - EPA EOL'!$F$4:$F$264,dataforsankey!$H415,'CompilationCalcs - EPA EOL'!$A$4:$A$264,dataforsankey!$J415,'CompilationCalcs - EPA EOL'!$B$4:$B$264,dataforsankey!$G415)</f>
        <v>0</v>
      </c>
      <c r="J415" t="s">
        <v>127</v>
      </c>
      <c r="M415" t="str">
        <f>'CompilationCalcs - Di et al.EOL'!A47</f>
        <v>Other thermosets</v>
      </c>
      <c r="N415" t="str">
        <f>'CompilationCalcs - Di et al.EOL'!C47</f>
        <v>Adhesives/Inks/Coatings</v>
      </c>
      <c r="O415" s="11">
        <f>SUMIFS('CompilationCalcs - Di et al.EOL'!$D$4:$D$544,'CompilationCalcs - Di et al.EOL'!$A$4:$A$544,dataforsankey!$M415,'CompilationCalcs - Di et al.EOL'!$C$4:$C$544,$N415)</f>
        <v>0</v>
      </c>
      <c r="P415" t="str">
        <f t="shared" si="33"/>
        <v>Other thermosets</v>
      </c>
      <c r="S415" t="s">
        <v>335</v>
      </c>
      <c r="T415" t="s">
        <v>6</v>
      </c>
      <c r="U415" s="11">
        <f t="shared" si="36"/>
        <v>0.12295726627326518</v>
      </c>
      <c r="V415" t="s">
        <v>25</v>
      </c>
      <c r="Y415" t="s">
        <v>891</v>
      </c>
      <c r="Z415" t="s">
        <v>38</v>
      </c>
      <c r="AA415" s="11">
        <f t="shared" si="34"/>
        <v>0</v>
      </c>
      <c r="AB415" t="s">
        <v>25</v>
      </c>
      <c r="AE415" t="s">
        <v>891</v>
      </c>
      <c r="AF415" t="s">
        <v>38</v>
      </c>
      <c r="AG415" s="11">
        <f t="shared" si="35"/>
        <v>0</v>
      </c>
      <c r="AH415" t="s">
        <v>25</v>
      </c>
    </row>
    <row r="416" spans="7:34" x14ac:dyDescent="0.2">
      <c r="G416" t="s">
        <v>91</v>
      </c>
      <c r="H416" t="s">
        <v>4</v>
      </c>
      <c r="I416">
        <f>SUMIFS('CompilationCalcs - EPA EOL'!$G$4:$G$264,'CompilationCalcs - EPA EOL'!$F$4:$F$264,dataforsankey!$H416,'CompilationCalcs - EPA EOL'!$A$4:$A$264,dataforsankey!$J416,'CompilationCalcs - EPA EOL'!$B$4:$B$264,dataforsankey!$G416)</f>
        <v>0</v>
      </c>
      <c r="J416" t="s">
        <v>122</v>
      </c>
      <c r="M416" t="str">
        <f>'CompilationCalcs - Di et al.EOL'!A48</f>
        <v>Other thermosets</v>
      </c>
      <c r="N416" t="str">
        <f>'CompilationCalcs - Di et al.EOL'!C48</f>
        <v>Textiles, Fibers and Apparel</v>
      </c>
      <c r="O416" s="11">
        <f>SUMIFS('CompilationCalcs - Di et al.EOL'!$D$4:$D$544,'CompilationCalcs - Di et al.EOL'!$A$4:$A$544,dataforsankey!$M416,'CompilationCalcs - Di et al.EOL'!$C$4:$C$544,$N416)</f>
        <v>0</v>
      </c>
      <c r="P416" t="str">
        <f t="shared" si="33"/>
        <v>Other thermosets</v>
      </c>
      <c r="S416" t="s">
        <v>335</v>
      </c>
      <c r="T416" t="s">
        <v>5</v>
      </c>
      <c r="U416" s="11">
        <f t="shared" si="36"/>
        <v>2.6968469279056152E-2</v>
      </c>
      <c r="V416" t="s">
        <v>25</v>
      </c>
      <c r="Y416" t="s">
        <v>891</v>
      </c>
      <c r="Z416" t="s">
        <v>99</v>
      </c>
      <c r="AA416" s="11">
        <f t="shared" si="34"/>
        <v>2.5579703599599934E-2</v>
      </c>
      <c r="AB416" t="s">
        <v>25</v>
      </c>
      <c r="AE416" t="s">
        <v>891</v>
      </c>
      <c r="AF416" t="s">
        <v>99</v>
      </c>
      <c r="AG416" s="11">
        <f t="shared" si="35"/>
        <v>2.5579703599599934E-2</v>
      </c>
      <c r="AH416" t="s">
        <v>25</v>
      </c>
    </row>
    <row r="417" spans="7:34" x14ac:dyDescent="0.2">
      <c r="G417" t="s">
        <v>91</v>
      </c>
      <c r="H417" t="s">
        <v>4</v>
      </c>
      <c r="I417" t="e">
        <f>SUMIFS('CompilationCalcs - EPA EOL'!$G$4:$G$264,'CompilationCalcs - EPA EOL'!$F$4:$F$264,dataforsankey!$H417,'CompilationCalcs - EPA EOL'!$A$4:$A$264,dataforsankey!$J417,'CompilationCalcs - EPA EOL'!$B$4:$B$264,dataforsankey!$G417)</f>
        <v>#N/A</v>
      </c>
      <c r="J417" t="s">
        <v>82</v>
      </c>
      <c r="M417" t="str">
        <f>'CompilationCalcs - Di et al.EOL'!A49</f>
        <v>Other thermosets</v>
      </c>
      <c r="N417" t="str">
        <f>'CompilationCalcs - Di et al.EOL'!C49</f>
        <v>Other End Use Markets</v>
      </c>
      <c r="O417" s="11">
        <f>SUMIFS('CompilationCalcs - Di et al.EOL'!$D$4:$D$544,'CompilationCalcs - Di et al.EOL'!$A$4:$A$544,dataforsankey!$M417,'CompilationCalcs - Di et al.EOL'!$C$4:$C$544,$N417)</f>
        <v>2.26796</v>
      </c>
      <c r="P417" t="str">
        <f t="shared" si="33"/>
        <v>Other thermosets</v>
      </c>
      <c r="S417" t="s">
        <v>335</v>
      </c>
      <c r="T417" t="s">
        <v>358</v>
      </c>
      <c r="U417" s="11">
        <f t="shared" si="36"/>
        <v>0</v>
      </c>
      <c r="V417" t="s">
        <v>25</v>
      </c>
      <c r="Y417" t="s">
        <v>891</v>
      </c>
      <c r="Z417" t="s">
        <v>69</v>
      </c>
      <c r="AA417" s="11">
        <f t="shared" si="34"/>
        <v>5.3145050866445859E-2</v>
      </c>
      <c r="AB417" t="s">
        <v>25</v>
      </c>
      <c r="AE417" t="s">
        <v>891</v>
      </c>
      <c r="AF417" t="s">
        <v>69</v>
      </c>
      <c r="AG417" s="11">
        <f t="shared" si="35"/>
        <v>5.3145050866445859E-2</v>
      </c>
      <c r="AH417" t="s">
        <v>25</v>
      </c>
    </row>
    <row r="418" spans="7:34" x14ac:dyDescent="0.2">
      <c r="G418" t="s">
        <v>91</v>
      </c>
      <c r="H418" t="s">
        <v>5</v>
      </c>
      <c r="I418">
        <f>SUMIFS('CompilationCalcs - EPA EOL'!$G$4:$G$264,'CompilationCalcs - EPA EOL'!$F$4:$F$264,dataforsankey!$H418,'CompilationCalcs - EPA EOL'!$A$4:$A$264,dataforsankey!$J418,'CompilationCalcs - EPA EOL'!$B$4:$B$264,dataforsankey!$G418)</f>
        <v>0</v>
      </c>
      <c r="J418" t="s">
        <v>0</v>
      </c>
      <c r="M418" t="str">
        <f>'CompilationCalcs - Di et al.EOL'!A50</f>
        <v>Other thermosets</v>
      </c>
      <c r="N418" t="str">
        <f>'CompilationCalcs - Di et al.EOL'!C50</f>
        <v>Exports</v>
      </c>
      <c r="O418" s="11">
        <f>SUMIFS('CompilationCalcs - Di et al.EOL'!$D$4:$D$544,'CompilationCalcs - Di et al.EOL'!$A$4:$A$544,dataforsankey!$M418,'CompilationCalcs - Di et al.EOL'!$C$4:$C$544,$N418)</f>
        <v>0</v>
      </c>
      <c r="P418" t="str">
        <f t="shared" si="33"/>
        <v>Other thermosets</v>
      </c>
      <c r="S418" t="s">
        <v>330</v>
      </c>
      <c r="T418" t="s">
        <v>191</v>
      </c>
      <c r="U418" s="11">
        <f t="shared" si="36"/>
        <v>5.0706382187748851E-3</v>
      </c>
      <c r="V418" t="s">
        <v>7</v>
      </c>
      <c r="Y418" t="s">
        <v>891</v>
      </c>
      <c r="Z418" t="s">
        <v>100</v>
      </c>
      <c r="AA418" s="11">
        <f t="shared" si="34"/>
        <v>0</v>
      </c>
      <c r="AB418" t="s">
        <v>25</v>
      </c>
      <c r="AE418" t="s">
        <v>891</v>
      </c>
      <c r="AF418" t="s">
        <v>100</v>
      </c>
      <c r="AG418" s="11">
        <f t="shared" si="35"/>
        <v>0</v>
      </c>
      <c r="AH418" t="s">
        <v>25</v>
      </c>
    </row>
    <row r="419" spans="7:34" x14ac:dyDescent="0.2">
      <c r="G419" t="s">
        <v>91</v>
      </c>
      <c r="H419" t="s">
        <v>5</v>
      </c>
      <c r="I419" t="e">
        <f>SUMIFS('CompilationCalcs - EPA EOL'!$G$4:$G$264,'CompilationCalcs - EPA EOL'!$F$4:$F$264,dataforsankey!$H419,'CompilationCalcs - EPA EOL'!$A$4:$A$264,dataforsankey!$J419,'CompilationCalcs - EPA EOL'!$B$4:$B$264,dataforsankey!$G419)</f>
        <v>#N/A</v>
      </c>
      <c r="J419" t="s">
        <v>2</v>
      </c>
      <c r="M419" t="str">
        <f>'CompilationCalcs - Di et al.EOL'!A75</f>
        <v>LDPE</v>
      </c>
      <c r="N419" t="str">
        <f>'CompilationCalcs - Di et al.EOL'!C75</f>
        <v>Building and Construction</v>
      </c>
      <c r="O419" s="11">
        <f>SUMIFS('CompilationCalcs - Di et al.EOL'!$D$4:$D$544,'CompilationCalcs - Di et al.EOL'!$A$4:$A$544,dataforsankey!$M419,'CompilationCalcs - Di et al.EOL'!$C$4:$C$544,$N419)</f>
        <v>0.20617443319212375</v>
      </c>
      <c r="P419" t="str">
        <f t="shared" ref="P419:P440" si="37">M419</f>
        <v>LDPE</v>
      </c>
      <c r="S419" t="s">
        <v>330</v>
      </c>
      <c r="T419" t="s">
        <v>333</v>
      </c>
      <c r="U419" s="11">
        <f t="shared" si="36"/>
        <v>5.6376020910516758E-2</v>
      </c>
      <c r="V419" t="s">
        <v>7</v>
      </c>
      <c r="Y419" t="s">
        <v>891</v>
      </c>
      <c r="Z419" t="s">
        <v>39</v>
      </c>
      <c r="AA419" s="11">
        <f t="shared" si="34"/>
        <v>4.1521132704976045E-2</v>
      </c>
      <c r="AB419" t="s">
        <v>25</v>
      </c>
      <c r="AE419" t="s">
        <v>891</v>
      </c>
      <c r="AF419" t="s">
        <v>39</v>
      </c>
      <c r="AG419" s="11">
        <f t="shared" si="35"/>
        <v>4.1521132704976045E-2</v>
      </c>
      <c r="AH419" t="s">
        <v>25</v>
      </c>
    </row>
    <row r="420" spans="7:34" x14ac:dyDescent="0.2">
      <c r="G420" t="s">
        <v>91</v>
      </c>
      <c r="H420" t="s">
        <v>5</v>
      </c>
      <c r="I420" t="e">
        <f>SUMIFS('CompilationCalcs - EPA EOL'!$G$4:$G$264,'CompilationCalcs - EPA EOL'!$F$4:$F$264,dataforsankey!$H420,'CompilationCalcs - EPA EOL'!$A$4:$A$264,dataforsankey!$J420,'CompilationCalcs - EPA EOL'!$B$4:$B$264,dataforsankey!$G420)</f>
        <v>#N/A</v>
      </c>
      <c r="J420" t="s">
        <v>1</v>
      </c>
      <c r="M420" t="str">
        <f>'CompilationCalcs - Di et al.EOL'!A76</f>
        <v>LDPE</v>
      </c>
      <c r="N420" t="str">
        <f>'CompilationCalcs - Di et al.EOL'!C76</f>
        <v>Furniture and Furnishings</v>
      </c>
      <c r="O420" s="11">
        <f>SUMIFS('CompilationCalcs - Di et al.EOL'!$D$4:$D$544,'CompilationCalcs - Di et al.EOL'!$A$4:$A$544,dataforsankey!$M420,'CompilationCalcs - Di et al.EOL'!$C$4:$C$544,$N420)</f>
        <v>0.20617443319212375</v>
      </c>
      <c r="P420" t="str">
        <f t="shared" si="37"/>
        <v>LDPE</v>
      </c>
      <c r="S420" t="s">
        <v>330</v>
      </c>
      <c r="T420" t="s">
        <v>6</v>
      </c>
      <c r="U420" s="11">
        <f t="shared" si="36"/>
        <v>1.3008648089815613</v>
      </c>
      <c r="V420" t="s">
        <v>7</v>
      </c>
      <c r="Y420" t="s">
        <v>891</v>
      </c>
      <c r="Z420" t="s">
        <v>68</v>
      </c>
      <c r="AA420" s="11">
        <f t="shared" si="34"/>
        <v>6.7866544530947745E-2</v>
      </c>
      <c r="AB420" t="s">
        <v>25</v>
      </c>
      <c r="AE420" t="s">
        <v>891</v>
      </c>
      <c r="AF420" t="s">
        <v>68</v>
      </c>
      <c r="AG420" s="11">
        <f t="shared" si="35"/>
        <v>6.7866544530947745E-2</v>
      </c>
      <c r="AH420" t="s">
        <v>25</v>
      </c>
    </row>
    <row r="421" spans="7:34" x14ac:dyDescent="0.2">
      <c r="G421" t="s">
        <v>91</v>
      </c>
      <c r="H421" t="s">
        <v>5</v>
      </c>
      <c r="I421" t="e">
        <f>SUMIFS('CompilationCalcs - EPA EOL'!$G$4:$G$264,'CompilationCalcs - EPA EOL'!$F$4:$F$264,dataforsankey!$H421,'CompilationCalcs - EPA EOL'!$A$4:$A$264,dataforsankey!$J421,'CompilationCalcs - EPA EOL'!$B$4:$B$264,dataforsankey!$G421)</f>
        <v>#N/A</v>
      </c>
      <c r="J421" t="s">
        <v>7</v>
      </c>
      <c r="M421" t="str">
        <f>'CompilationCalcs - Di et al.EOL'!A77</f>
        <v>LDPE</v>
      </c>
      <c r="N421" t="str">
        <f>'CompilationCalcs - Di et al.EOL'!C77</f>
        <v>Transportation</v>
      </c>
      <c r="O421" s="11">
        <f>SUMIFS('CompilationCalcs - Di et al.EOL'!$D$4:$D$544,'CompilationCalcs - Di et al.EOL'!$A$4:$A$544,dataforsankey!$M421,'CompilationCalcs - Di et al.EOL'!$C$4:$C$544,$N421)</f>
        <v>0.20617443319212375</v>
      </c>
      <c r="P421" t="str">
        <f t="shared" si="37"/>
        <v>LDPE</v>
      </c>
      <c r="S421" t="s">
        <v>330</v>
      </c>
      <c r="T421" t="s">
        <v>5</v>
      </c>
      <c r="U421" s="11">
        <f t="shared" si="36"/>
        <v>0.24846127271996937</v>
      </c>
      <c r="V421" t="s">
        <v>7</v>
      </c>
      <c r="Y421" t="s">
        <v>891</v>
      </c>
      <c r="Z421" t="s">
        <v>63</v>
      </c>
      <c r="AA421" s="11">
        <f t="shared" si="34"/>
        <v>2.5464247735091188E-2</v>
      </c>
      <c r="AB421" t="s">
        <v>25</v>
      </c>
      <c r="AE421" t="s">
        <v>891</v>
      </c>
      <c r="AF421" t="s">
        <v>63</v>
      </c>
      <c r="AG421" s="11">
        <f t="shared" si="35"/>
        <v>2.5464247735091188E-2</v>
      </c>
      <c r="AH421" t="s">
        <v>25</v>
      </c>
    </row>
    <row r="422" spans="7:34" x14ac:dyDescent="0.2">
      <c r="G422" t="s">
        <v>91</v>
      </c>
      <c r="H422" t="s">
        <v>5</v>
      </c>
      <c r="I422" t="e">
        <f>SUMIFS('CompilationCalcs - EPA EOL'!$G$4:$G$264,'CompilationCalcs - EPA EOL'!$F$4:$F$264,dataforsankey!$H422,'CompilationCalcs - EPA EOL'!$A$4:$A$264,dataforsankey!$J422,'CompilationCalcs - EPA EOL'!$B$4:$B$264,dataforsankey!$G422)</f>
        <v>#N/A</v>
      </c>
      <c r="J422" t="s">
        <v>8</v>
      </c>
      <c r="M422" t="str">
        <f>'CompilationCalcs - Di et al.EOL'!A78</f>
        <v>LDPE</v>
      </c>
      <c r="N422" t="str">
        <f>'CompilationCalcs - Di et al.EOL'!C78</f>
        <v>Industrial/Machinery</v>
      </c>
      <c r="O422" s="11">
        <f>SUMIFS('CompilationCalcs - Di et al.EOL'!$D$4:$D$544,'CompilationCalcs - Di et al.EOL'!$A$4:$A$544,dataforsankey!$M422,'CompilationCalcs - Di et al.EOL'!$C$4:$C$544,$N422)</f>
        <v>0.20617443319212375</v>
      </c>
      <c r="P422" t="str">
        <f t="shared" si="37"/>
        <v>LDPE</v>
      </c>
      <c r="S422" t="s">
        <v>330</v>
      </c>
      <c r="T422" t="s">
        <v>358</v>
      </c>
      <c r="U422" s="11">
        <f t="shared" si="36"/>
        <v>0</v>
      </c>
      <c r="V422" t="s">
        <v>7</v>
      </c>
      <c r="Y422" t="s">
        <v>891</v>
      </c>
      <c r="Z422" t="s">
        <v>92</v>
      </c>
      <c r="AA422" s="11">
        <f t="shared" si="34"/>
        <v>0</v>
      </c>
      <c r="AB422" t="s">
        <v>25</v>
      </c>
      <c r="AE422" t="s">
        <v>891</v>
      </c>
      <c r="AF422" t="s">
        <v>92</v>
      </c>
      <c r="AG422" s="11">
        <f t="shared" si="35"/>
        <v>0</v>
      </c>
      <c r="AH422" t="s">
        <v>25</v>
      </c>
    </row>
    <row r="423" spans="7:34" x14ac:dyDescent="0.2">
      <c r="G423" t="s">
        <v>91</v>
      </c>
      <c r="H423" t="s">
        <v>5</v>
      </c>
      <c r="I423">
        <f>SUMIFS('CompilationCalcs - EPA EOL'!$G$4:$G$264,'CompilationCalcs - EPA EOL'!$F$4:$F$264,dataforsankey!$H423,'CompilationCalcs - EPA EOL'!$A$4:$A$264,dataforsankey!$J423,'CompilationCalcs - EPA EOL'!$B$4:$B$264,dataforsankey!$G423)</f>
        <v>0</v>
      </c>
      <c r="J423" t="s">
        <v>9</v>
      </c>
      <c r="M423" t="str">
        <f>'CompilationCalcs - Di et al.EOL'!A79</f>
        <v>LDPE</v>
      </c>
      <c r="N423" t="str">
        <f>'CompilationCalcs - Di et al.EOL'!C79</f>
        <v>Packaging</v>
      </c>
      <c r="O423" s="11">
        <f>SUMIFS('CompilationCalcs - Di et al.EOL'!$D$4:$D$544,'CompilationCalcs - Di et al.EOL'!$A$4:$A$544,dataforsankey!$M423,'CompilationCalcs - Di et al.EOL'!$C$4:$C$544,$N423)</f>
        <v>0.20617443319212375</v>
      </c>
      <c r="P423" t="str">
        <f t="shared" si="37"/>
        <v>LDPE</v>
      </c>
      <c r="S423" t="s">
        <v>335</v>
      </c>
      <c r="T423" t="s">
        <v>191</v>
      </c>
      <c r="U423" s="11">
        <f t="shared" si="36"/>
        <v>5.0705368080387241E-4</v>
      </c>
      <c r="V423" t="s">
        <v>7</v>
      </c>
      <c r="Y423" t="s">
        <v>891</v>
      </c>
      <c r="Z423" t="s">
        <v>103</v>
      </c>
      <c r="AA423" s="11">
        <f t="shared" si="34"/>
        <v>0</v>
      </c>
      <c r="AB423" t="s">
        <v>25</v>
      </c>
      <c r="AE423" t="s">
        <v>891</v>
      </c>
      <c r="AF423" t="s">
        <v>103</v>
      </c>
      <c r="AG423" s="11">
        <f t="shared" si="35"/>
        <v>0</v>
      </c>
      <c r="AH423" t="s">
        <v>25</v>
      </c>
    </row>
    <row r="424" spans="7:34" x14ac:dyDescent="0.2">
      <c r="G424" t="s">
        <v>91</v>
      </c>
      <c r="H424" t="s">
        <v>5</v>
      </c>
      <c r="I424" t="e">
        <f>SUMIFS('CompilationCalcs - EPA EOL'!$G$4:$G$264,'CompilationCalcs - EPA EOL'!$F$4:$F$264,dataforsankey!$H424,'CompilationCalcs - EPA EOL'!$A$4:$A$264,dataforsankey!$J424,'CompilationCalcs - EPA EOL'!$B$4:$B$264,dataforsankey!$G424)</f>
        <v>#N/A</v>
      </c>
      <c r="J424" t="s">
        <v>10</v>
      </c>
      <c r="M424" t="str">
        <f>'CompilationCalcs - Di et al.EOL'!A80</f>
        <v>LDPE</v>
      </c>
      <c r="N424" t="str">
        <f>'CompilationCalcs - Di et al.EOL'!C80</f>
        <v>Electrical/Electronic</v>
      </c>
      <c r="O424" s="11">
        <f>SUMIFS('CompilationCalcs - Di et al.EOL'!$D$4:$D$544,'CompilationCalcs - Di et al.EOL'!$A$4:$A$544,dataforsankey!$M424,'CompilationCalcs - Di et al.EOL'!$C$4:$C$544,$N424)</f>
        <v>0.20617443319212375</v>
      </c>
      <c r="P424" t="str">
        <f t="shared" si="37"/>
        <v>LDPE</v>
      </c>
      <c r="S424" t="s">
        <v>335</v>
      </c>
      <c r="T424" t="s">
        <v>333</v>
      </c>
      <c r="U424" s="11">
        <f t="shared" si="36"/>
        <v>0</v>
      </c>
      <c r="V424" t="s">
        <v>7</v>
      </c>
      <c r="Y424" t="s">
        <v>891</v>
      </c>
      <c r="Z424" t="s">
        <v>86</v>
      </c>
      <c r="AA424" s="11">
        <f t="shared" si="34"/>
        <v>0</v>
      </c>
      <c r="AB424" t="s">
        <v>25</v>
      </c>
      <c r="AE424" t="s">
        <v>891</v>
      </c>
      <c r="AF424" t="s">
        <v>86</v>
      </c>
      <c r="AG424" s="11">
        <f t="shared" si="35"/>
        <v>0</v>
      </c>
      <c r="AH424" t="s">
        <v>25</v>
      </c>
    </row>
    <row r="425" spans="7:34" x14ac:dyDescent="0.2">
      <c r="G425" t="s">
        <v>91</v>
      </c>
      <c r="H425" t="s">
        <v>5</v>
      </c>
      <c r="I425" t="e">
        <f>SUMIFS('CompilationCalcs - EPA EOL'!$G$4:$G$264,'CompilationCalcs - EPA EOL'!$F$4:$F$264,dataforsankey!$H425,'CompilationCalcs - EPA EOL'!$A$4:$A$264,dataforsankey!$J425,'CompilationCalcs - EPA EOL'!$B$4:$B$264,dataforsankey!$G425)</f>
        <v>#N/A</v>
      </c>
      <c r="J425" t="s">
        <v>11</v>
      </c>
      <c r="M425" t="str">
        <f>'CompilationCalcs - Di et al.EOL'!A81</f>
        <v>LDPE</v>
      </c>
      <c r="N425" t="str">
        <f>'CompilationCalcs - Di et al.EOL'!C81</f>
        <v>Consumer and Institutional</v>
      </c>
      <c r="O425" s="11">
        <f>SUMIFS('CompilationCalcs - Di et al.EOL'!$D$4:$D$544,'CompilationCalcs - Di et al.EOL'!$A$4:$A$544,dataforsankey!$M425,'CompilationCalcs - Di et al.EOL'!$C$4:$C$544,$N425)</f>
        <v>0.20617443319212375</v>
      </c>
      <c r="P425" t="str">
        <f t="shared" si="37"/>
        <v>LDPE</v>
      </c>
      <c r="S425" t="s">
        <v>335</v>
      </c>
      <c r="T425" t="s">
        <v>6</v>
      </c>
      <c r="U425" s="11">
        <f t="shared" si="36"/>
        <v>0.13008387922057171</v>
      </c>
      <c r="V425" t="s">
        <v>7</v>
      </c>
      <c r="Y425" t="s">
        <v>891</v>
      </c>
      <c r="Z425" t="s">
        <v>18</v>
      </c>
      <c r="AA425" s="11">
        <f t="shared" si="34"/>
        <v>0</v>
      </c>
      <c r="AB425" t="s">
        <v>25</v>
      </c>
      <c r="AE425" t="s">
        <v>891</v>
      </c>
      <c r="AF425" t="s">
        <v>18</v>
      </c>
      <c r="AG425" s="11">
        <f t="shared" si="35"/>
        <v>0</v>
      </c>
      <c r="AH425" t="s">
        <v>25</v>
      </c>
    </row>
    <row r="426" spans="7:34" x14ac:dyDescent="0.2">
      <c r="G426" t="s">
        <v>91</v>
      </c>
      <c r="H426" t="s">
        <v>5</v>
      </c>
      <c r="I426">
        <f>SUMIFS('CompilationCalcs - EPA EOL'!$G$4:$G$264,'CompilationCalcs - EPA EOL'!$F$4:$F$264,dataforsankey!$H426,'CompilationCalcs - EPA EOL'!$A$4:$A$264,dataforsankey!$J426,'CompilationCalcs - EPA EOL'!$B$4:$B$264,dataforsankey!$G426)</f>
        <v>0</v>
      </c>
      <c r="J426" t="s">
        <v>127</v>
      </c>
      <c r="M426" t="str">
        <f>'CompilationCalcs - Di et al.EOL'!A82</f>
        <v>LDPE</v>
      </c>
      <c r="N426" t="str">
        <f>'CompilationCalcs - Di et al.EOL'!C82</f>
        <v>Adhesives/Inks/Coatings</v>
      </c>
      <c r="O426" s="11">
        <f>SUMIFS('CompilationCalcs - Di et al.EOL'!$D$4:$D$544,'CompilationCalcs - Di et al.EOL'!$A$4:$A$544,dataforsankey!$M426,'CompilationCalcs - Di et al.EOL'!$C$4:$C$544,$N426)</f>
        <v>0.20617443319212375</v>
      </c>
      <c r="P426" t="str">
        <f t="shared" si="37"/>
        <v>LDPE</v>
      </c>
      <c r="S426" t="s">
        <v>335</v>
      </c>
      <c r="T426" t="s">
        <v>5</v>
      </c>
      <c r="U426" s="11">
        <f t="shared" si="36"/>
        <v>2.4845630359389748E-2</v>
      </c>
      <c r="V426" t="s">
        <v>7</v>
      </c>
      <c r="Y426" t="s">
        <v>891</v>
      </c>
      <c r="Z426" t="s">
        <v>38</v>
      </c>
      <c r="AA426" s="11">
        <f t="shared" si="34"/>
        <v>0</v>
      </c>
      <c r="AB426" t="s">
        <v>7</v>
      </c>
      <c r="AE426" t="s">
        <v>891</v>
      </c>
      <c r="AF426" t="s">
        <v>38</v>
      </c>
      <c r="AG426" s="11">
        <f t="shared" si="35"/>
        <v>0</v>
      </c>
      <c r="AH426" t="s">
        <v>7</v>
      </c>
    </row>
    <row r="427" spans="7:34" x14ac:dyDescent="0.2">
      <c r="G427" t="s">
        <v>91</v>
      </c>
      <c r="H427" t="s">
        <v>5</v>
      </c>
      <c r="I427">
        <f>SUMIFS('CompilationCalcs - EPA EOL'!$G$4:$G$264,'CompilationCalcs - EPA EOL'!$F$4:$F$264,dataforsankey!$H427,'CompilationCalcs - EPA EOL'!$A$4:$A$264,dataforsankey!$J427,'CompilationCalcs - EPA EOL'!$B$4:$B$264,dataforsankey!$G427)</f>
        <v>0</v>
      </c>
      <c r="J427" t="s">
        <v>122</v>
      </c>
      <c r="M427" t="str">
        <f>'CompilationCalcs - Di et al.EOL'!A83</f>
        <v>LDPE</v>
      </c>
      <c r="N427" t="str">
        <f>'CompilationCalcs - Di et al.EOL'!C83</f>
        <v>Textiles, Fibers and Apparel</v>
      </c>
      <c r="O427" s="11">
        <f>SUMIFS('CompilationCalcs - Di et al.EOL'!$D$4:$D$544,'CompilationCalcs - Di et al.EOL'!$A$4:$A$544,dataforsankey!$M427,'CompilationCalcs - Di et al.EOL'!$C$4:$C$544,$N427)</f>
        <v>0</v>
      </c>
      <c r="P427" t="str">
        <f t="shared" si="37"/>
        <v>LDPE</v>
      </c>
      <c r="S427" t="s">
        <v>335</v>
      </c>
      <c r="T427" t="s">
        <v>358</v>
      </c>
      <c r="U427" s="11">
        <f t="shared" si="36"/>
        <v>0</v>
      </c>
      <c r="V427" t="s">
        <v>7</v>
      </c>
      <c r="Y427" t="s">
        <v>891</v>
      </c>
      <c r="Z427" t="s">
        <v>99</v>
      </c>
      <c r="AA427" s="11">
        <f t="shared" si="34"/>
        <v>2.6174496629540731E-2</v>
      </c>
      <c r="AB427" t="s">
        <v>7</v>
      </c>
      <c r="AE427" t="s">
        <v>891</v>
      </c>
      <c r="AF427" t="s">
        <v>99</v>
      </c>
      <c r="AG427" s="11">
        <f t="shared" si="35"/>
        <v>2.6174496629540731E-2</v>
      </c>
      <c r="AH427" t="s">
        <v>7</v>
      </c>
    </row>
    <row r="428" spans="7:34" x14ac:dyDescent="0.2">
      <c r="G428" t="s">
        <v>91</v>
      </c>
      <c r="H428" t="s">
        <v>5</v>
      </c>
      <c r="I428">
        <f>SUMIFS('CompilationCalcs - EPA EOL'!$G$4:$G$264,'CompilationCalcs - EPA EOL'!$F$4:$F$264,dataforsankey!$H428,'CompilationCalcs - EPA EOL'!$A$4:$A$264,dataforsankey!$J428,'CompilationCalcs - EPA EOL'!$B$4:$B$264,dataforsankey!$G428)</f>
        <v>0</v>
      </c>
      <c r="J428" t="s">
        <v>82</v>
      </c>
      <c r="M428" t="str">
        <f>'CompilationCalcs - Di et al.EOL'!A84</f>
        <v>LDPE</v>
      </c>
      <c r="N428" t="str">
        <f>'CompilationCalcs - Di et al.EOL'!C84</f>
        <v>Other End Use Markets</v>
      </c>
      <c r="O428" s="11">
        <f>SUMIFS('CompilationCalcs - Di et al.EOL'!$D$4:$D$544,'CompilationCalcs - Di et al.EOL'!$A$4:$A$544,dataforsankey!$M428,'CompilationCalcs - Di et al.EOL'!$C$4:$C$544,$N428)</f>
        <v>0.20617443319212375</v>
      </c>
      <c r="P428" t="str">
        <f t="shared" si="37"/>
        <v>LDPE</v>
      </c>
      <c r="S428" t="s">
        <v>330</v>
      </c>
      <c r="T428" t="s">
        <v>191</v>
      </c>
      <c r="U428" s="11">
        <f t="shared" si="36"/>
        <v>0.70294973543236738</v>
      </c>
      <c r="V428" t="s">
        <v>2</v>
      </c>
      <c r="Y428" t="s">
        <v>891</v>
      </c>
      <c r="Z428" t="s">
        <v>69</v>
      </c>
      <c r="AA428" s="11">
        <f t="shared" si="34"/>
        <v>5.4380808181151624E-2</v>
      </c>
      <c r="AB428" t="s">
        <v>7</v>
      </c>
      <c r="AE428" t="s">
        <v>891</v>
      </c>
      <c r="AF428" t="s">
        <v>69</v>
      </c>
      <c r="AG428" s="11">
        <f t="shared" si="35"/>
        <v>5.4380808181151624E-2</v>
      </c>
      <c r="AH428" t="s">
        <v>7</v>
      </c>
    </row>
    <row r="429" spans="7:34" x14ac:dyDescent="0.2">
      <c r="G429" t="s">
        <v>91</v>
      </c>
      <c r="H429" t="s">
        <v>6</v>
      </c>
      <c r="I429">
        <f>SUMIFS('CompilationCalcs - EPA EOL'!$G$4:$G$264,'CompilationCalcs - EPA EOL'!$F$4:$F$264,dataforsankey!$H429,'CompilationCalcs - EPA EOL'!$A$4:$A$264,dataforsankey!$J429,'CompilationCalcs - EPA EOL'!$B$4:$B$264,dataforsankey!$G429)</f>
        <v>0</v>
      </c>
      <c r="J429" t="s">
        <v>0</v>
      </c>
      <c r="M429" t="str">
        <f>'CompilationCalcs - Di et al.EOL'!A85</f>
        <v>LDPE</v>
      </c>
      <c r="N429" t="str">
        <f>'CompilationCalcs - Di et al.EOL'!C85</f>
        <v>Exports</v>
      </c>
      <c r="O429" s="11">
        <f>SUMIFS('CompilationCalcs - Di et al.EOL'!$D$4:$D$544,'CompilationCalcs - Di et al.EOL'!$A$4:$A$544,dataforsankey!$M429,'CompilationCalcs - Di et al.EOL'!$C$4:$C$544,$N429)</f>
        <v>0.20617443319212375</v>
      </c>
      <c r="P429" t="str">
        <f t="shared" si="37"/>
        <v>LDPE</v>
      </c>
      <c r="S429" t="s">
        <v>330</v>
      </c>
      <c r="T429" t="s">
        <v>333</v>
      </c>
      <c r="U429" s="11">
        <f t="shared" si="36"/>
        <v>0</v>
      </c>
      <c r="V429" t="s">
        <v>2</v>
      </c>
      <c r="Y429" t="s">
        <v>891</v>
      </c>
      <c r="Z429" t="s">
        <v>100</v>
      </c>
      <c r="AA429" s="11">
        <f t="shared" si="34"/>
        <v>0</v>
      </c>
      <c r="AB429" t="s">
        <v>7</v>
      </c>
      <c r="AE429" t="s">
        <v>891</v>
      </c>
      <c r="AF429" t="s">
        <v>100</v>
      </c>
      <c r="AG429" s="11">
        <f t="shared" si="35"/>
        <v>0</v>
      </c>
      <c r="AH429" t="s">
        <v>7</v>
      </c>
    </row>
    <row r="430" spans="7:34" x14ac:dyDescent="0.2">
      <c r="G430" t="s">
        <v>91</v>
      </c>
      <c r="H430" t="s">
        <v>6</v>
      </c>
      <c r="I430" t="e">
        <f>SUMIFS('CompilationCalcs - EPA EOL'!$G$4:$G$264,'CompilationCalcs - EPA EOL'!$F$4:$F$264,dataforsankey!$H430,'CompilationCalcs - EPA EOL'!$A$4:$A$264,dataforsankey!$J430,'CompilationCalcs - EPA EOL'!$B$4:$B$264,dataforsankey!$G430)</f>
        <v>#N/A</v>
      </c>
      <c r="J430" t="s">
        <v>2</v>
      </c>
      <c r="M430" t="str">
        <f>'CompilationCalcs - Di et al.EOL'!A121</f>
        <v>LLDPE</v>
      </c>
      <c r="N430" t="str">
        <f>'CompilationCalcs - Di et al.EOL'!C121</f>
        <v>Building and Construction</v>
      </c>
      <c r="O430" s="11">
        <f>SUMIFS('CompilationCalcs - Di et al.EOL'!$D$4:$D$544,'CompilationCalcs - Di et al.EOL'!$A$4:$A$544,dataforsankey!$M430,'CompilationCalcs - Di et al.EOL'!$C$4:$C$544,$N430)</f>
        <v>0.20617443319212375</v>
      </c>
      <c r="P430" t="str">
        <f t="shared" si="37"/>
        <v>LLDPE</v>
      </c>
      <c r="S430" t="s">
        <v>330</v>
      </c>
      <c r="T430" t="s">
        <v>6</v>
      </c>
      <c r="U430" s="11">
        <f t="shared" si="36"/>
        <v>2.525839318992035</v>
      </c>
      <c r="V430" t="s">
        <v>2</v>
      </c>
      <c r="Y430" t="s">
        <v>891</v>
      </c>
      <c r="Z430" t="s">
        <v>39</v>
      </c>
      <c r="AA430" s="11">
        <f t="shared" si="34"/>
        <v>4.2486604420940446E-2</v>
      </c>
      <c r="AB430" t="s">
        <v>7</v>
      </c>
      <c r="AE430" t="s">
        <v>891</v>
      </c>
      <c r="AF430" t="s">
        <v>39</v>
      </c>
      <c r="AG430" s="11">
        <f t="shared" si="35"/>
        <v>4.2486604420940446E-2</v>
      </c>
      <c r="AH430" t="s">
        <v>7</v>
      </c>
    </row>
    <row r="431" spans="7:34" x14ac:dyDescent="0.2">
      <c r="G431" t="s">
        <v>91</v>
      </c>
      <c r="H431" t="s">
        <v>6</v>
      </c>
      <c r="I431" t="e">
        <f>SUMIFS('CompilationCalcs - EPA EOL'!$G$4:$G$264,'CompilationCalcs - EPA EOL'!$F$4:$F$264,dataforsankey!$H431,'CompilationCalcs - EPA EOL'!$A$4:$A$264,dataforsankey!$J431,'CompilationCalcs - EPA EOL'!$B$4:$B$264,dataforsankey!$G431)</f>
        <v>#N/A</v>
      </c>
      <c r="J431" t="s">
        <v>1</v>
      </c>
      <c r="M431" t="str">
        <f>'CompilationCalcs - Di et al.EOL'!A122</f>
        <v>LLDPE</v>
      </c>
      <c r="N431" t="str">
        <f>'CompilationCalcs - Di et al.EOL'!C122</f>
        <v>Furniture and Furnishings</v>
      </c>
      <c r="O431" s="11">
        <f>SUMIFS('CompilationCalcs - Di et al.EOL'!$D$4:$D$544,'CompilationCalcs - Di et al.EOL'!$A$4:$A$544,dataforsankey!$M431,'CompilationCalcs - Di et al.EOL'!$C$4:$C$544,$N431)</f>
        <v>0.20617443319212375</v>
      </c>
      <c r="P431" t="str">
        <f t="shared" si="37"/>
        <v>LLDPE</v>
      </c>
      <c r="S431" t="s">
        <v>330</v>
      </c>
      <c r="T431" t="s">
        <v>5</v>
      </c>
      <c r="U431" s="11">
        <f t="shared" si="36"/>
        <v>0.58510470358379918</v>
      </c>
      <c r="V431" t="s">
        <v>2</v>
      </c>
      <c r="Y431" t="s">
        <v>891</v>
      </c>
      <c r="Z431" t="s">
        <v>68</v>
      </c>
      <c r="AA431" s="11">
        <f t="shared" si="34"/>
        <v>6.9444613936482463E-2</v>
      </c>
      <c r="AB431" t="s">
        <v>7</v>
      </c>
      <c r="AE431" t="s">
        <v>891</v>
      </c>
      <c r="AF431" t="s">
        <v>68</v>
      </c>
      <c r="AG431" s="11">
        <f t="shared" si="35"/>
        <v>6.9444613936482463E-2</v>
      </c>
      <c r="AH431" t="s">
        <v>7</v>
      </c>
    </row>
    <row r="432" spans="7:34" x14ac:dyDescent="0.2">
      <c r="G432" t="s">
        <v>91</v>
      </c>
      <c r="H432" t="s">
        <v>6</v>
      </c>
      <c r="I432" t="e">
        <f>SUMIFS('CompilationCalcs - EPA EOL'!$G$4:$G$264,'CompilationCalcs - EPA EOL'!$F$4:$F$264,dataforsankey!$H432,'CompilationCalcs - EPA EOL'!$A$4:$A$264,dataforsankey!$J432,'CompilationCalcs - EPA EOL'!$B$4:$B$264,dataforsankey!$G432)</f>
        <v>#N/A</v>
      </c>
      <c r="J432" t="s">
        <v>7</v>
      </c>
      <c r="M432" t="str">
        <f>'CompilationCalcs - Di et al.EOL'!A123</f>
        <v>LLDPE</v>
      </c>
      <c r="N432" t="str">
        <f>'CompilationCalcs - Di et al.EOL'!C123</f>
        <v>Transportation</v>
      </c>
      <c r="O432" s="11">
        <f>SUMIFS('CompilationCalcs - Di et al.EOL'!$D$4:$D$544,'CompilationCalcs - Di et al.EOL'!$A$4:$A$544,dataforsankey!$M432,'CompilationCalcs - Di et al.EOL'!$C$4:$C$544,$N432)</f>
        <v>0.20617443319212375</v>
      </c>
      <c r="P432" t="str">
        <f t="shared" si="37"/>
        <v>LLDPE</v>
      </c>
      <c r="S432" t="s">
        <v>330</v>
      </c>
      <c r="T432" t="s">
        <v>358</v>
      </c>
      <c r="U432" s="11">
        <f t="shared" si="36"/>
        <v>0</v>
      </c>
      <c r="V432" t="s">
        <v>2</v>
      </c>
      <c r="Y432" t="s">
        <v>891</v>
      </c>
      <c r="Z432" t="s">
        <v>63</v>
      </c>
      <c r="AA432" s="11">
        <f t="shared" si="34"/>
        <v>2.6056356123155343E-2</v>
      </c>
      <c r="AB432" t="s">
        <v>7</v>
      </c>
      <c r="AE432" t="s">
        <v>891</v>
      </c>
      <c r="AF432" t="s">
        <v>63</v>
      </c>
      <c r="AG432" s="11">
        <f t="shared" si="35"/>
        <v>2.6056356123155343E-2</v>
      </c>
      <c r="AH432" t="s">
        <v>7</v>
      </c>
    </row>
    <row r="433" spans="7:34" x14ac:dyDescent="0.2">
      <c r="G433" t="s">
        <v>91</v>
      </c>
      <c r="H433" t="s">
        <v>6</v>
      </c>
      <c r="I433" t="e">
        <f>SUMIFS('CompilationCalcs - EPA EOL'!$G$4:$G$264,'CompilationCalcs - EPA EOL'!$F$4:$F$264,dataforsankey!$H433,'CompilationCalcs - EPA EOL'!$A$4:$A$264,dataforsankey!$J433,'CompilationCalcs - EPA EOL'!$B$4:$B$264,dataforsankey!$G433)</f>
        <v>#N/A</v>
      </c>
      <c r="J433" t="s">
        <v>8</v>
      </c>
      <c r="M433" t="str">
        <f>'CompilationCalcs - Di et al.EOL'!A124</f>
        <v>LLDPE</v>
      </c>
      <c r="N433" t="str">
        <f>'CompilationCalcs - Di et al.EOL'!C124</f>
        <v>Industrial/Machinery</v>
      </c>
      <c r="O433" s="11">
        <f>SUMIFS('CompilationCalcs - Di et al.EOL'!$D$4:$D$544,'CompilationCalcs - Di et al.EOL'!$A$4:$A$544,dataforsankey!$M433,'CompilationCalcs - Di et al.EOL'!$C$4:$C$544,$N433)</f>
        <v>0.20617443319212375</v>
      </c>
      <c r="P433" t="str">
        <f t="shared" si="37"/>
        <v>LLDPE</v>
      </c>
      <c r="S433" t="s">
        <v>335</v>
      </c>
      <c r="T433" t="s">
        <v>191</v>
      </c>
      <c r="U433" s="11">
        <f t="shared" si="36"/>
        <v>0</v>
      </c>
      <c r="V433" t="s">
        <v>2</v>
      </c>
      <c r="Y433" t="s">
        <v>891</v>
      </c>
      <c r="Z433" t="s">
        <v>92</v>
      </c>
      <c r="AA433" s="11">
        <f t="shared" si="34"/>
        <v>0</v>
      </c>
      <c r="AB433" t="s">
        <v>7</v>
      </c>
      <c r="AE433" t="s">
        <v>891</v>
      </c>
      <c r="AF433" t="s">
        <v>92</v>
      </c>
      <c r="AG433" s="11">
        <f t="shared" si="35"/>
        <v>0</v>
      </c>
      <c r="AH433" t="s">
        <v>7</v>
      </c>
    </row>
    <row r="434" spans="7:34" x14ac:dyDescent="0.2">
      <c r="G434" t="s">
        <v>91</v>
      </c>
      <c r="H434" t="s">
        <v>6</v>
      </c>
      <c r="I434">
        <f>SUMIFS('CompilationCalcs - EPA EOL'!$G$4:$G$264,'CompilationCalcs - EPA EOL'!$F$4:$F$264,dataforsankey!$H434,'CompilationCalcs - EPA EOL'!$A$4:$A$264,dataforsankey!$J434,'CompilationCalcs - EPA EOL'!$B$4:$B$264,dataforsankey!$G434)</f>
        <v>0</v>
      </c>
      <c r="J434" t="s">
        <v>9</v>
      </c>
      <c r="M434" t="str">
        <f>'CompilationCalcs - Di et al.EOL'!A125</f>
        <v>LLDPE</v>
      </c>
      <c r="N434" t="str">
        <f>'CompilationCalcs - Di et al.EOL'!C125</f>
        <v>Packaging</v>
      </c>
      <c r="O434" s="11">
        <f>SUMIFS('CompilationCalcs - Di et al.EOL'!$D$4:$D$544,'CompilationCalcs - Di et al.EOL'!$A$4:$A$544,dataforsankey!$M434,'CompilationCalcs - Di et al.EOL'!$C$4:$C$544,$N434)</f>
        <v>0.20617443319212375</v>
      </c>
      <c r="P434" t="str">
        <f t="shared" si="37"/>
        <v>LLDPE</v>
      </c>
      <c r="S434" t="s">
        <v>335</v>
      </c>
      <c r="T434" t="s">
        <v>333</v>
      </c>
      <c r="U434" s="11">
        <f t="shared" si="36"/>
        <v>0</v>
      </c>
      <c r="V434" t="s">
        <v>2</v>
      </c>
      <c r="Y434" t="s">
        <v>891</v>
      </c>
      <c r="Z434" t="s">
        <v>103</v>
      </c>
      <c r="AA434" s="11">
        <f t="shared" si="34"/>
        <v>0</v>
      </c>
      <c r="AB434" t="s">
        <v>7</v>
      </c>
      <c r="AE434" t="s">
        <v>891</v>
      </c>
      <c r="AF434" t="s">
        <v>103</v>
      </c>
      <c r="AG434" s="11">
        <f t="shared" si="35"/>
        <v>0</v>
      </c>
      <c r="AH434" t="s">
        <v>7</v>
      </c>
    </row>
    <row r="435" spans="7:34" x14ac:dyDescent="0.2">
      <c r="G435" t="s">
        <v>91</v>
      </c>
      <c r="H435" t="s">
        <v>6</v>
      </c>
      <c r="I435" t="e">
        <f>SUMIFS('CompilationCalcs - EPA EOL'!$G$4:$G$264,'CompilationCalcs - EPA EOL'!$F$4:$F$264,dataforsankey!$H435,'CompilationCalcs - EPA EOL'!$A$4:$A$264,dataforsankey!$J435,'CompilationCalcs - EPA EOL'!$B$4:$B$264,dataforsankey!$G435)</f>
        <v>#N/A</v>
      </c>
      <c r="J435" t="s">
        <v>10</v>
      </c>
      <c r="M435" t="str">
        <f>'CompilationCalcs - Di et al.EOL'!A126</f>
        <v>LLDPE</v>
      </c>
      <c r="N435" t="str">
        <f>'CompilationCalcs - Di et al.EOL'!C126</f>
        <v>Electrical/Electronic</v>
      </c>
      <c r="O435" s="11">
        <f>SUMIFS('CompilationCalcs - Di et al.EOL'!$D$4:$D$544,'CompilationCalcs - Di et al.EOL'!$A$4:$A$544,dataforsankey!$M435,'CompilationCalcs - Di et al.EOL'!$C$4:$C$544,$N435)</f>
        <v>0.20617443319212375</v>
      </c>
      <c r="P435" t="str">
        <f t="shared" si="37"/>
        <v>LLDPE</v>
      </c>
      <c r="S435" t="s">
        <v>335</v>
      </c>
      <c r="T435" t="s">
        <v>6</v>
      </c>
      <c r="U435" s="11">
        <f t="shared" si="36"/>
        <v>0</v>
      </c>
      <c r="V435" t="s">
        <v>2</v>
      </c>
      <c r="Y435" t="s">
        <v>891</v>
      </c>
      <c r="Z435" t="s">
        <v>86</v>
      </c>
      <c r="AA435" s="11">
        <f t="shared" si="34"/>
        <v>0</v>
      </c>
      <c r="AB435" t="s">
        <v>7</v>
      </c>
      <c r="AE435" t="s">
        <v>891</v>
      </c>
      <c r="AF435" t="s">
        <v>86</v>
      </c>
      <c r="AG435" s="11">
        <f t="shared" si="35"/>
        <v>0</v>
      </c>
      <c r="AH435" t="s">
        <v>7</v>
      </c>
    </row>
    <row r="436" spans="7:34" x14ac:dyDescent="0.2">
      <c r="G436" t="s">
        <v>91</v>
      </c>
      <c r="H436" t="s">
        <v>6</v>
      </c>
      <c r="I436" t="e">
        <f>SUMIFS('CompilationCalcs - EPA EOL'!$G$4:$G$264,'CompilationCalcs - EPA EOL'!$F$4:$F$264,dataforsankey!$H436,'CompilationCalcs - EPA EOL'!$A$4:$A$264,dataforsankey!$J436,'CompilationCalcs - EPA EOL'!$B$4:$B$264,dataforsankey!$G436)</f>
        <v>#N/A</v>
      </c>
      <c r="J436" t="s">
        <v>11</v>
      </c>
      <c r="M436" t="str">
        <f>'CompilationCalcs - Di et al.EOL'!A127</f>
        <v>LLDPE</v>
      </c>
      <c r="N436" t="str">
        <f>'CompilationCalcs - Di et al.EOL'!C127</f>
        <v>Consumer and Institutional</v>
      </c>
      <c r="O436" s="11">
        <f>SUMIFS('CompilationCalcs - Di et al.EOL'!$D$4:$D$544,'CompilationCalcs - Di et al.EOL'!$A$4:$A$544,dataforsankey!$M436,'CompilationCalcs - Di et al.EOL'!$C$4:$C$544,$N436)</f>
        <v>0.20617443319212375</v>
      </c>
      <c r="P436" t="str">
        <f t="shared" si="37"/>
        <v>LLDPE</v>
      </c>
      <c r="S436" t="s">
        <v>335</v>
      </c>
      <c r="T436" t="s">
        <v>5</v>
      </c>
      <c r="U436" s="11">
        <f t="shared" si="36"/>
        <v>0</v>
      </c>
      <c r="V436" t="s">
        <v>2</v>
      </c>
      <c r="Y436" t="s">
        <v>891</v>
      </c>
      <c r="Z436" t="s">
        <v>18</v>
      </c>
      <c r="AA436" s="11">
        <f t="shared" si="34"/>
        <v>0</v>
      </c>
      <c r="AB436" t="s">
        <v>7</v>
      </c>
      <c r="AE436" t="s">
        <v>891</v>
      </c>
      <c r="AF436" t="s">
        <v>18</v>
      </c>
      <c r="AG436" s="11">
        <f t="shared" si="35"/>
        <v>0</v>
      </c>
      <c r="AH436" t="s">
        <v>7</v>
      </c>
    </row>
    <row r="437" spans="7:34" x14ac:dyDescent="0.2">
      <c r="G437" t="s">
        <v>91</v>
      </c>
      <c r="H437" t="s">
        <v>6</v>
      </c>
      <c r="I437">
        <f>SUMIFS('CompilationCalcs - EPA EOL'!$G$4:$G$264,'CompilationCalcs - EPA EOL'!$F$4:$F$264,dataforsankey!$H437,'CompilationCalcs - EPA EOL'!$A$4:$A$264,dataforsankey!$J437,'CompilationCalcs - EPA EOL'!$B$4:$B$264,dataforsankey!$G437)</f>
        <v>0</v>
      </c>
      <c r="J437" t="s">
        <v>127</v>
      </c>
      <c r="M437" t="str">
        <f>'CompilationCalcs - Di et al.EOL'!A128</f>
        <v>LLDPE</v>
      </c>
      <c r="N437" t="str">
        <f>'CompilationCalcs - Di et al.EOL'!C128</f>
        <v>Adhesives/Inks/Coatings</v>
      </c>
      <c r="O437" s="11">
        <f>SUMIFS('CompilationCalcs - Di et al.EOL'!$D$4:$D$544,'CompilationCalcs - Di et al.EOL'!$A$4:$A$544,dataforsankey!$M437,'CompilationCalcs - Di et al.EOL'!$C$4:$C$544,$N437)</f>
        <v>0.20617443319212375</v>
      </c>
      <c r="P437" t="str">
        <f t="shared" si="37"/>
        <v>LLDPE</v>
      </c>
      <c r="S437" t="s">
        <v>335</v>
      </c>
      <c r="T437" t="s">
        <v>358</v>
      </c>
      <c r="U437" s="11">
        <f t="shared" si="36"/>
        <v>0</v>
      </c>
      <c r="V437" t="s">
        <v>2</v>
      </c>
      <c r="Y437" t="s">
        <v>891</v>
      </c>
      <c r="Z437" t="s">
        <v>38</v>
      </c>
      <c r="AA437" s="11">
        <f t="shared" si="34"/>
        <v>0</v>
      </c>
      <c r="AB437" t="s">
        <v>2</v>
      </c>
      <c r="AE437" t="s">
        <v>891</v>
      </c>
      <c r="AF437" t="s">
        <v>38</v>
      </c>
      <c r="AG437" s="11">
        <f t="shared" si="35"/>
        <v>0</v>
      </c>
      <c r="AH437" t="s">
        <v>2</v>
      </c>
    </row>
    <row r="438" spans="7:34" x14ac:dyDescent="0.2">
      <c r="G438" t="s">
        <v>91</v>
      </c>
      <c r="H438" t="s">
        <v>6</v>
      </c>
      <c r="I438">
        <f>SUMIFS('CompilationCalcs - EPA EOL'!$G$4:$G$264,'CompilationCalcs - EPA EOL'!$F$4:$F$264,dataforsankey!$H438,'CompilationCalcs - EPA EOL'!$A$4:$A$264,dataforsankey!$J438,'CompilationCalcs - EPA EOL'!$B$4:$B$264,dataforsankey!$G438)</f>
        <v>0</v>
      </c>
      <c r="J438" t="s">
        <v>122</v>
      </c>
      <c r="M438" t="str">
        <f>'CompilationCalcs - Di et al.EOL'!A129</f>
        <v>LLDPE</v>
      </c>
      <c r="N438" t="str">
        <f>'CompilationCalcs - Di et al.EOL'!C129</f>
        <v>Textiles, Fibers and Apparel</v>
      </c>
      <c r="O438" s="11">
        <f>SUMIFS('CompilationCalcs - Di et al.EOL'!$D$4:$D$544,'CompilationCalcs - Di et al.EOL'!$A$4:$A$544,dataforsankey!$M438,'CompilationCalcs - Di et al.EOL'!$C$4:$C$544,$N438)</f>
        <v>0</v>
      </c>
      <c r="P438" t="str">
        <f t="shared" si="37"/>
        <v>LLDPE</v>
      </c>
      <c r="S438" t="s">
        <v>330</v>
      </c>
      <c r="T438" t="s">
        <v>191</v>
      </c>
      <c r="U438" s="11">
        <f t="shared" si="36"/>
        <v>0</v>
      </c>
      <c r="V438" t="s">
        <v>30</v>
      </c>
      <c r="Y438" t="s">
        <v>891</v>
      </c>
      <c r="Z438" t="s">
        <v>99</v>
      </c>
      <c r="AA438" s="11">
        <f t="shared" si="34"/>
        <v>0</v>
      </c>
      <c r="AB438" t="s">
        <v>2</v>
      </c>
      <c r="AE438" t="s">
        <v>891</v>
      </c>
      <c r="AF438" t="s">
        <v>99</v>
      </c>
      <c r="AG438" s="11">
        <f t="shared" si="35"/>
        <v>0</v>
      </c>
      <c r="AH438" t="s">
        <v>2</v>
      </c>
    </row>
    <row r="439" spans="7:34" x14ac:dyDescent="0.2">
      <c r="G439" t="s">
        <v>91</v>
      </c>
      <c r="H439" t="s">
        <v>6</v>
      </c>
      <c r="I439">
        <f>SUMIFS('CompilationCalcs - EPA EOL'!$G$4:$G$264,'CompilationCalcs - EPA EOL'!$F$4:$F$264,dataforsankey!$H439,'CompilationCalcs - EPA EOL'!$A$4:$A$264,dataforsankey!$J439,'CompilationCalcs - EPA EOL'!$B$4:$B$264,dataforsankey!$G439)</f>
        <v>0</v>
      </c>
      <c r="J439" t="s">
        <v>82</v>
      </c>
      <c r="M439" t="str">
        <f>'CompilationCalcs - Di et al.EOL'!A130</f>
        <v>LLDPE</v>
      </c>
      <c r="N439" t="str">
        <f>'CompilationCalcs - Di et al.EOL'!C130</f>
        <v>Other End Use Markets</v>
      </c>
      <c r="O439" s="11">
        <f>SUMIFS('CompilationCalcs - Di et al.EOL'!$D$4:$D$544,'CompilationCalcs - Di et al.EOL'!$A$4:$A$544,dataforsankey!$M439,'CompilationCalcs - Di et al.EOL'!$C$4:$C$544,$N439)</f>
        <v>0.20617443319212375</v>
      </c>
      <c r="P439" t="str">
        <f t="shared" si="37"/>
        <v>LLDPE</v>
      </c>
      <c r="S439" t="s">
        <v>330</v>
      </c>
      <c r="T439" t="s">
        <v>333</v>
      </c>
      <c r="U439" s="11">
        <f t="shared" si="36"/>
        <v>0</v>
      </c>
      <c r="V439" t="s">
        <v>30</v>
      </c>
      <c r="Y439" t="s">
        <v>891</v>
      </c>
      <c r="Z439" t="s">
        <v>69</v>
      </c>
      <c r="AA439" s="11">
        <f t="shared" si="34"/>
        <v>0</v>
      </c>
      <c r="AB439" t="s">
        <v>2</v>
      </c>
      <c r="AE439" t="s">
        <v>891</v>
      </c>
      <c r="AF439" t="s">
        <v>69</v>
      </c>
      <c r="AG439" s="11">
        <f t="shared" si="35"/>
        <v>0</v>
      </c>
      <c r="AH439" t="s">
        <v>2</v>
      </c>
    </row>
    <row r="440" spans="7:34" x14ac:dyDescent="0.2">
      <c r="G440" t="s">
        <v>92</v>
      </c>
      <c r="H440" t="s">
        <v>4</v>
      </c>
      <c r="I440">
        <f>SUMIFS('CompilationCalcs - EPA EOL'!$G$4:$G$264,'CompilationCalcs - EPA EOL'!$F$4:$F$264,dataforsankey!$H440,'CompilationCalcs - EPA EOL'!$A$4:$A$264,dataforsankey!$J440,'CompilationCalcs - EPA EOL'!$B$4:$B$264,dataforsankey!$G440)</f>
        <v>0</v>
      </c>
      <c r="J440" t="s">
        <v>0</v>
      </c>
      <c r="M440" t="str">
        <f>'CompilationCalcs - Di et al.EOL'!A131</f>
        <v>LLDPE</v>
      </c>
      <c r="N440" t="str">
        <f>'CompilationCalcs - Di et al.EOL'!C131</f>
        <v>Exports</v>
      </c>
      <c r="O440" s="11">
        <f>SUMIFS('CompilationCalcs - Di et al.EOL'!$D$4:$D$544,'CompilationCalcs - Di et al.EOL'!$A$4:$A$544,dataforsankey!$M440,'CompilationCalcs - Di et al.EOL'!$C$4:$C$544,$N440)</f>
        <v>0.20617443319212375</v>
      </c>
      <c r="P440" t="str">
        <f t="shared" si="37"/>
        <v>LLDPE</v>
      </c>
      <c r="S440" t="s">
        <v>330</v>
      </c>
      <c r="T440" t="s">
        <v>6</v>
      </c>
      <c r="U440" s="11">
        <f t="shared" si="36"/>
        <v>0.88371801454369669</v>
      </c>
      <c r="V440" t="s">
        <v>30</v>
      </c>
      <c r="Y440" t="s">
        <v>891</v>
      </c>
      <c r="Z440" t="s">
        <v>100</v>
      </c>
      <c r="AA440" s="11">
        <f t="shared" si="34"/>
        <v>0</v>
      </c>
      <c r="AB440" t="s">
        <v>2</v>
      </c>
      <c r="AE440" t="s">
        <v>891</v>
      </c>
      <c r="AF440" t="s">
        <v>100</v>
      </c>
      <c r="AG440" s="11">
        <f t="shared" si="35"/>
        <v>0</v>
      </c>
      <c r="AH440" t="s">
        <v>2</v>
      </c>
    </row>
    <row r="441" spans="7:34" x14ac:dyDescent="0.2">
      <c r="G441" t="s">
        <v>92</v>
      </c>
      <c r="H441" t="s">
        <v>4</v>
      </c>
      <c r="I441">
        <f>SUMIFS('CompilationCalcs - EPA EOL'!$G$4:$G$264,'CompilationCalcs - EPA EOL'!$F$4:$F$264,dataforsankey!$H441,'CompilationCalcs - EPA EOL'!$A$4:$A$264,dataforsankey!$J441,'CompilationCalcs - EPA EOL'!$B$4:$B$264,dataforsankey!$G441)</f>
        <v>0</v>
      </c>
      <c r="J441" t="s">
        <v>2</v>
      </c>
      <c r="M441" t="str">
        <f>'CompilationCalcs - Di et al.EOL'!A157</f>
        <v>HDPE</v>
      </c>
      <c r="N441" t="str">
        <f>'CompilationCalcs - Di et al.EOL'!C157</f>
        <v>Building and Construction</v>
      </c>
      <c r="O441" s="11">
        <f>SUMIFS('CompilationCalcs - Di et al.EOL'!$D$4:$D$544,'CompilationCalcs - Di et al.EOL'!$A$4:$A$544,dataforsankey!$M441,'CompilationCalcs - Di et al.EOL'!$C$4:$C$544,$N441)</f>
        <v>0.20617443319212375</v>
      </c>
      <c r="P441" t="str">
        <f t="shared" ref="P441:P466" si="38">M441</f>
        <v>HDPE</v>
      </c>
      <c r="S441" t="s">
        <v>330</v>
      </c>
      <c r="T441" t="s">
        <v>5</v>
      </c>
      <c r="U441" s="11">
        <f t="shared" si="36"/>
        <v>8.1034199237682805E-2</v>
      </c>
      <c r="V441" t="s">
        <v>30</v>
      </c>
      <c r="Y441" t="s">
        <v>891</v>
      </c>
      <c r="Z441" t="s">
        <v>39</v>
      </c>
      <c r="AA441" s="11">
        <f t="shared" si="34"/>
        <v>0.52129765829887453</v>
      </c>
      <c r="AB441" t="s">
        <v>2</v>
      </c>
      <c r="AE441" t="s">
        <v>891</v>
      </c>
      <c r="AF441" t="s">
        <v>39</v>
      </c>
      <c r="AG441" s="11">
        <f t="shared" si="35"/>
        <v>0.52129765829887453</v>
      </c>
      <c r="AH441" t="s">
        <v>2</v>
      </c>
    </row>
    <row r="442" spans="7:34" x14ac:dyDescent="0.2">
      <c r="G442" t="s">
        <v>92</v>
      </c>
      <c r="H442" t="s">
        <v>4</v>
      </c>
      <c r="I442">
        <f>SUMIFS('CompilationCalcs - EPA EOL'!$G$4:$G$264,'CompilationCalcs - EPA EOL'!$F$4:$F$264,dataforsankey!$H442,'CompilationCalcs - EPA EOL'!$A$4:$A$264,dataforsankey!$J442,'CompilationCalcs - EPA EOL'!$B$4:$B$264,dataforsankey!$G442)</f>
        <v>4.6280150278259401E-2</v>
      </c>
      <c r="J442" t="s">
        <v>1</v>
      </c>
      <c r="M442" t="str">
        <f>'CompilationCalcs - Di et al.EOL'!A158</f>
        <v>HDPE</v>
      </c>
      <c r="N442" t="str">
        <f>'CompilationCalcs - Di et al.EOL'!C158</f>
        <v>Furniture and Furnishings</v>
      </c>
      <c r="O442" s="11">
        <f>SUMIFS('CompilationCalcs - Di et al.EOL'!$D$4:$D$544,'CompilationCalcs - Di et al.EOL'!$A$4:$A$544,dataforsankey!$M442,'CompilationCalcs - Di et al.EOL'!$C$4:$C$544,$N442)</f>
        <v>0.20617443319212375</v>
      </c>
      <c r="P442" t="str">
        <f t="shared" si="38"/>
        <v>HDPE</v>
      </c>
      <c r="S442" t="s">
        <v>330</v>
      </c>
      <c r="T442" t="s">
        <v>358</v>
      </c>
      <c r="U442" s="11">
        <f t="shared" si="36"/>
        <v>0</v>
      </c>
      <c r="V442" t="s">
        <v>30</v>
      </c>
      <c r="Y442" t="s">
        <v>891</v>
      </c>
      <c r="Z442" t="s">
        <v>68</v>
      </c>
      <c r="AA442" s="11">
        <f t="shared" si="34"/>
        <v>0</v>
      </c>
      <c r="AB442" t="s">
        <v>2</v>
      </c>
      <c r="AE442" t="s">
        <v>891</v>
      </c>
      <c r="AF442" t="s">
        <v>68</v>
      </c>
      <c r="AG442" s="11">
        <f t="shared" si="35"/>
        <v>0</v>
      </c>
      <c r="AH442" t="s">
        <v>2</v>
      </c>
    </row>
    <row r="443" spans="7:34" x14ac:dyDescent="0.2">
      <c r="G443" t="s">
        <v>92</v>
      </c>
      <c r="H443" t="s">
        <v>4</v>
      </c>
      <c r="I443">
        <f>SUMIFS('CompilationCalcs - EPA EOL'!$G$4:$G$264,'CompilationCalcs - EPA EOL'!$F$4:$F$264,dataforsankey!$H443,'CompilationCalcs - EPA EOL'!$A$4:$A$264,dataforsankey!$J443,'CompilationCalcs - EPA EOL'!$B$4:$B$264,dataforsankey!$G443)</f>
        <v>0</v>
      </c>
      <c r="J443" t="s">
        <v>7</v>
      </c>
      <c r="M443" t="str">
        <f>'CompilationCalcs - Di et al.EOL'!A159</f>
        <v>HDPE</v>
      </c>
      <c r="N443" t="str">
        <f>'CompilationCalcs - Di et al.EOL'!C159</f>
        <v>Transportation</v>
      </c>
      <c r="O443" s="11">
        <f>SUMIFS('CompilationCalcs - Di et al.EOL'!$D$4:$D$544,'CompilationCalcs - Di et al.EOL'!$A$4:$A$544,dataforsankey!$M443,'CompilationCalcs - Di et al.EOL'!$C$4:$C$544,$N443)</f>
        <v>0.20617443319212375</v>
      </c>
      <c r="P443" t="str">
        <f t="shared" si="38"/>
        <v>HDPE</v>
      </c>
      <c r="S443" t="s">
        <v>335</v>
      </c>
      <c r="T443" t="s">
        <v>191</v>
      </c>
      <c r="U443" s="11">
        <f t="shared" si="36"/>
        <v>0</v>
      </c>
      <c r="V443" t="s">
        <v>30</v>
      </c>
      <c r="Y443" t="s">
        <v>891</v>
      </c>
      <c r="Z443" t="s">
        <v>63</v>
      </c>
      <c r="AA443" s="11">
        <f t="shared" si="34"/>
        <v>0</v>
      </c>
      <c r="AB443" t="s">
        <v>2</v>
      </c>
      <c r="AE443" t="s">
        <v>891</v>
      </c>
      <c r="AF443" t="s">
        <v>63</v>
      </c>
      <c r="AG443" s="11">
        <f t="shared" si="35"/>
        <v>0</v>
      </c>
      <c r="AH443" t="s">
        <v>2</v>
      </c>
    </row>
    <row r="444" spans="7:34" x14ac:dyDescent="0.2">
      <c r="G444" t="s">
        <v>92</v>
      </c>
      <c r="H444" t="s">
        <v>4</v>
      </c>
      <c r="I444">
        <f>SUMIFS('CompilationCalcs - EPA EOL'!$G$4:$G$264,'CompilationCalcs - EPA EOL'!$F$4:$F$264,dataforsankey!$H444,'CompilationCalcs - EPA EOL'!$A$4:$A$264,dataforsankey!$J444,'CompilationCalcs - EPA EOL'!$B$4:$B$264,dataforsankey!$G444)</f>
        <v>3.0577956433849963E-2</v>
      </c>
      <c r="J444" t="s">
        <v>8</v>
      </c>
      <c r="M444" t="str">
        <f>'CompilationCalcs - Di et al.EOL'!A160</f>
        <v>HDPE</v>
      </c>
      <c r="N444" t="str">
        <f>'CompilationCalcs - Di et al.EOL'!C160</f>
        <v>Industrial/Machinery</v>
      </c>
      <c r="O444" s="11">
        <f>SUMIFS('CompilationCalcs - Di et al.EOL'!$D$4:$D$544,'CompilationCalcs - Di et al.EOL'!$A$4:$A$544,dataforsankey!$M444,'CompilationCalcs - Di et al.EOL'!$C$4:$C$544,$N444)</f>
        <v>0.20617443319212375</v>
      </c>
      <c r="P444" t="str">
        <f t="shared" si="38"/>
        <v>HDPE</v>
      </c>
      <c r="S444" t="s">
        <v>335</v>
      </c>
      <c r="T444" t="s">
        <v>333</v>
      </c>
      <c r="U444" s="11">
        <f t="shared" si="36"/>
        <v>0</v>
      </c>
      <c r="V444" t="s">
        <v>30</v>
      </c>
      <c r="Y444" t="s">
        <v>891</v>
      </c>
      <c r="Z444" t="s">
        <v>92</v>
      </c>
      <c r="AA444" s="11">
        <f t="shared" si="34"/>
        <v>0</v>
      </c>
      <c r="AB444" t="s">
        <v>2</v>
      </c>
      <c r="AE444" t="s">
        <v>891</v>
      </c>
      <c r="AF444" t="s">
        <v>92</v>
      </c>
      <c r="AG444" s="11">
        <f t="shared" si="35"/>
        <v>0</v>
      </c>
      <c r="AH444" t="s">
        <v>2</v>
      </c>
    </row>
    <row r="445" spans="7:34" x14ac:dyDescent="0.2">
      <c r="G445" t="s">
        <v>92</v>
      </c>
      <c r="H445" t="s">
        <v>4</v>
      </c>
      <c r="I445">
        <f>SUMIFS('CompilationCalcs - EPA EOL'!$G$4:$G$264,'CompilationCalcs - EPA EOL'!$F$4:$F$264,dataforsankey!$H445,'CompilationCalcs - EPA EOL'!$A$4:$A$264,dataforsankey!$J445,'CompilationCalcs - EPA EOL'!$B$4:$B$264,dataforsankey!$G445)</f>
        <v>0</v>
      </c>
      <c r="J445" t="s">
        <v>9</v>
      </c>
      <c r="M445" t="str">
        <f>'CompilationCalcs - Di et al.EOL'!A161</f>
        <v>HDPE</v>
      </c>
      <c r="N445" t="str">
        <f>'CompilationCalcs - Di et al.EOL'!C161</f>
        <v>Packaging</v>
      </c>
      <c r="O445" s="11">
        <f>SUMIFS('CompilationCalcs - Di et al.EOL'!$D$4:$D$544,'CompilationCalcs - Di et al.EOL'!$A$4:$A$544,dataforsankey!$M445,'CompilationCalcs - Di et al.EOL'!$C$4:$C$544,$N445)</f>
        <v>0.20617443319212375</v>
      </c>
      <c r="P445" t="str">
        <f t="shared" si="38"/>
        <v>HDPE</v>
      </c>
      <c r="S445" t="s">
        <v>335</v>
      </c>
      <c r="T445" t="s">
        <v>6</v>
      </c>
      <c r="U445" s="11">
        <f t="shared" si="36"/>
        <v>0.17462691305354489</v>
      </c>
      <c r="V445" t="s">
        <v>30</v>
      </c>
      <c r="Y445" t="s">
        <v>891</v>
      </c>
      <c r="Z445" t="s">
        <v>103</v>
      </c>
      <c r="AA445" s="11">
        <f t="shared" si="34"/>
        <v>0</v>
      </c>
      <c r="AB445" t="s">
        <v>2</v>
      </c>
      <c r="AE445" t="s">
        <v>891</v>
      </c>
      <c r="AF445" t="s">
        <v>103</v>
      </c>
      <c r="AG445" s="11">
        <f t="shared" si="35"/>
        <v>0</v>
      </c>
      <c r="AH445" t="s">
        <v>2</v>
      </c>
    </row>
    <row r="446" spans="7:34" x14ac:dyDescent="0.2">
      <c r="G446" t="s">
        <v>92</v>
      </c>
      <c r="H446" t="s">
        <v>4</v>
      </c>
      <c r="I446">
        <f>SUMIFS('CompilationCalcs - EPA EOL'!$G$4:$G$264,'CompilationCalcs - EPA EOL'!$F$4:$F$264,dataforsankey!$H446,'CompilationCalcs - EPA EOL'!$A$4:$A$264,dataforsankey!$J446,'CompilationCalcs - EPA EOL'!$B$4:$B$264,dataforsankey!$G446)</f>
        <v>4.1321562748445895E-3</v>
      </c>
      <c r="J446" t="s">
        <v>10</v>
      </c>
      <c r="M446" t="str">
        <f>'CompilationCalcs - Di et al.EOL'!A162</f>
        <v>HDPE</v>
      </c>
      <c r="N446" t="str">
        <f>'CompilationCalcs - Di et al.EOL'!C162</f>
        <v>Electrical/Electronic</v>
      </c>
      <c r="O446" s="11">
        <f>SUMIFS('CompilationCalcs - Di et al.EOL'!$D$4:$D$544,'CompilationCalcs - Di et al.EOL'!$A$4:$A$544,dataforsankey!$M446,'CompilationCalcs - Di et al.EOL'!$C$4:$C$544,$N446)</f>
        <v>0.20617443319212375</v>
      </c>
      <c r="P446" t="str">
        <f t="shared" si="38"/>
        <v>HDPE</v>
      </c>
      <c r="S446" t="s">
        <v>335</v>
      </c>
      <c r="T446" t="s">
        <v>5</v>
      </c>
      <c r="U446" s="11">
        <f t="shared" si="36"/>
        <v>1.6012745957146902E-2</v>
      </c>
      <c r="V446" t="s">
        <v>30</v>
      </c>
      <c r="Y446" t="s">
        <v>891</v>
      </c>
      <c r="Z446" t="s">
        <v>86</v>
      </c>
      <c r="AA446" s="11">
        <f t="shared" si="34"/>
        <v>0</v>
      </c>
      <c r="AB446" t="s">
        <v>2</v>
      </c>
      <c r="AE446" t="s">
        <v>891</v>
      </c>
      <c r="AF446" t="s">
        <v>86</v>
      </c>
      <c r="AG446" s="11">
        <f t="shared" si="35"/>
        <v>0</v>
      </c>
      <c r="AH446" t="s">
        <v>2</v>
      </c>
    </row>
    <row r="447" spans="7:34" x14ac:dyDescent="0.2">
      <c r="G447" t="s">
        <v>92</v>
      </c>
      <c r="H447" t="s">
        <v>4</v>
      </c>
      <c r="I447">
        <f>SUMIFS('CompilationCalcs - EPA EOL'!$G$4:$G$264,'CompilationCalcs - EPA EOL'!$F$4:$F$264,dataforsankey!$H447,'CompilationCalcs - EPA EOL'!$A$4:$A$264,dataforsankey!$J447,'CompilationCalcs - EPA EOL'!$B$4:$B$264,dataforsankey!$G447)</f>
        <v>1.6528625099378356E-3</v>
      </c>
      <c r="J447" t="s">
        <v>11</v>
      </c>
      <c r="M447" t="str">
        <f>'CompilationCalcs - Di et al.EOL'!A163</f>
        <v>HDPE</v>
      </c>
      <c r="N447" t="str">
        <f>'CompilationCalcs - Di et al.EOL'!C163</f>
        <v>Consumer and Institutional</v>
      </c>
      <c r="O447" s="11">
        <f>SUMIFS('CompilationCalcs - Di et al.EOL'!$D$4:$D$544,'CompilationCalcs - Di et al.EOL'!$A$4:$A$544,dataforsankey!$M447,'CompilationCalcs - Di et al.EOL'!$C$4:$C$544,$N447)</f>
        <v>0.20617443319212375</v>
      </c>
      <c r="P447" t="str">
        <f t="shared" si="38"/>
        <v>HDPE</v>
      </c>
      <c r="S447" t="s">
        <v>335</v>
      </c>
      <c r="T447" t="s">
        <v>358</v>
      </c>
      <c r="U447" s="11">
        <f t="shared" si="36"/>
        <v>0</v>
      </c>
      <c r="V447" t="s">
        <v>30</v>
      </c>
      <c r="Y447" t="s">
        <v>891</v>
      </c>
      <c r="Z447" t="s">
        <v>18</v>
      </c>
      <c r="AA447" s="11">
        <f t="shared" si="34"/>
        <v>0</v>
      </c>
      <c r="AB447" t="s">
        <v>2</v>
      </c>
      <c r="AE447" t="s">
        <v>891</v>
      </c>
      <c r="AF447" t="s">
        <v>18</v>
      </c>
      <c r="AG447" s="11">
        <f t="shared" si="35"/>
        <v>0</v>
      </c>
      <c r="AH447" t="s">
        <v>2</v>
      </c>
    </row>
    <row r="448" spans="7:34" x14ac:dyDescent="0.2">
      <c r="G448" t="s">
        <v>92</v>
      </c>
      <c r="H448" t="s">
        <v>4</v>
      </c>
      <c r="I448">
        <f>SUMIFS('CompilationCalcs - EPA EOL'!$G$4:$G$264,'CompilationCalcs - EPA EOL'!$F$4:$F$264,dataforsankey!$H448,'CompilationCalcs - EPA EOL'!$A$4:$A$264,dataforsankey!$J448,'CompilationCalcs - EPA EOL'!$B$4:$B$264,dataforsankey!$G448)</f>
        <v>0</v>
      </c>
      <c r="J448" t="s">
        <v>127</v>
      </c>
      <c r="M448" t="str">
        <f>'CompilationCalcs - Di et al.EOL'!A164</f>
        <v>HDPE</v>
      </c>
      <c r="N448" t="str">
        <f>'CompilationCalcs - Di et al.EOL'!C164</f>
        <v>Adhesives/Inks/Coatings</v>
      </c>
      <c r="O448" s="11">
        <f>SUMIFS('CompilationCalcs - Di et al.EOL'!$D$4:$D$544,'CompilationCalcs - Di et al.EOL'!$A$4:$A$544,dataforsankey!$M448,'CompilationCalcs - Di et al.EOL'!$C$4:$C$544,$N448)</f>
        <v>0.20617443319212375</v>
      </c>
      <c r="P448" t="str">
        <f t="shared" si="38"/>
        <v>HDPE</v>
      </c>
      <c r="S448" t="s">
        <v>330</v>
      </c>
      <c r="T448" t="s">
        <v>191</v>
      </c>
      <c r="U448" s="11">
        <f t="shared" si="36"/>
        <v>0</v>
      </c>
      <c r="V448" t="s">
        <v>31</v>
      </c>
      <c r="Y448" t="s">
        <v>891</v>
      </c>
      <c r="Z448" t="s">
        <v>38</v>
      </c>
      <c r="AA448" s="11">
        <f t="shared" si="34"/>
        <v>0</v>
      </c>
      <c r="AB448" t="s">
        <v>30</v>
      </c>
      <c r="AE448" t="s">
        <v>891</v>
      </c>
      <c r="AF448" t="s">
        <v>38</v>
      </c>
      <c r="AG448" s="11">
        <f t="shared" si="35"/>
        <v>0</v>
      </c>
      <c r="AH448" t="s">
        <v>30</v>
      </c>
    </row>
    <row r="449" spans="7:34" x14ac:dyDescent="0.2">
      <c r="G449" t="s">
        <v>92</v>
      </c>
      <c r="H449" t="s">
        <v>4</v>
      </c>
      <c r="I449">
        <f>SUMIFS('CompilationCalcs - EPA EOL'!$G$4:$G$264,'CompilationCalcs - EPA EOL'!$F$4:$F$264,dataforsankey!$H449,'CompilationCalcs - EPA EOL'!$A$4:$A$264,dataforsankey!$J449,'CompilationCalcs - EPA EOL'!$B$4:$B$264,dataforsankey!$G449)</f>
        <v>0</v>
      </c>
      <c r="J449" t="s">
        <v>122</v>
      </c>
      <c r="M449" t="str">
        <f>'CompilationCalcs - Di et al.EOL'!A165</f>
        <v>HDPE</v>
      </c>
      <c r="N449" t="str">
        <f>'CompilationCalcs - Di et al.EOL'!C165</f>
        <v>Textiles, Fibers and Apparel</v>
      </c>
      <c r="O449" s="11">
        <f>SUMIFS('CompilationCalcs - Di et al.EOL'!$D$4:$D$544,'CompilationCalcs - Di et al.EOL'!$A$4:$A$544,dataforsankey!$M449,'CompilationCalcs - Di et al.EOL'!$C$4:$C$544,$N449)</f>
        <v>0</v>
      </c>
      <c r="P449" t="str">
        <f t="shared" si="38"/>
        <v>HDPE</v>
      </c>
      <c r="S449" t="s">
        <v>330</v>
      </c>
      <c r="T449" t="s">
        <v>333</v>
      </c>
      <c r="U449" s="11">
        <f t="shared" si="36"/>
        <v>0.20769322838014198</v>
      </c>
      <c r="V449" t="s">
        <v>31</v>
      </c>
      <c r="Y449" t="s">
        <v>891</v>
      </c>
      <c r="Z449" t="s">
        <v>99</v>
      </c>
      <c r="AA449" s="11">
        <f t="shared" si="34"/>
        <v>3.0049799145028103E-2</v>
      </c>
      <c r="AB449" t="s">
        <v>30</v>
      </c>
      <c r="AE449" t="s">
        <v>891</v>
      </c>
      <c r="AF449" t="s">
        <v>99</v>
      </c>
      <c r="AG449" s="11">
        <f t="shared" si="35"/>
        <v>3.0049799145028103E-2</v>
      </c>
      <c r="AH449" t="s">
        <v>30</v>
      </c>
    </row>
    <row r="450" spans="7:34" x14ac:dyDescent="0.2">
      <c r="G450" t="s">
        <v>92</v>
      </c>
      <c r="H450" t="s">
        <v>4</v>
      </c>
      <c r="I450">
        <f>SUMIFS('CompilationCalcs - EPA EOL'!$G$4:$G$264,'CompilationCalcs - EPA EOL'!$F$4:$F$264,dataforsankey!$H450,'CompilationCalcs - EPA EOL'!$A$4:$A$264,dataforsankey!$J450,'CompilationCalcs - EPA EOL'!$B$4:$B$264,dataforsankey!$G450)</f>
        <v>9.1733869301549878E-2</v>
      </c>
      <c r="J450" t="s">
        <v>82</v>
      </c>
      <c r="M450" t="str">
        <f>'CompilationCalcs - Di et al.EOL'!A166</f>
        <v>HDPE</v>
      </c>
      <c r="N450" t="str">
        <f>'CompilationCalcs - Di et al.EOL'!C166</f>
        <v>Other End Use Markets</v>
      </c>
      <c r="O450" s="11">
        <f>SUMIFS('CompilationCalcs - Di et al.EOL'!$D$4:$D$544,'CompilationCalcs - Di et al.EOL'!$A$4:$A$544,dataforsankey!$M450,'CompilationCalcs - Di et al.EOL'!$C$4:$C$544,$N450)</f>
        <v>0.20617443319212375</v>
      </c>
      <c r="P450" t="str">
        <f t="shared" si="38"/>
        <v>HDPE</v>
      </c>
      <c r="S450" t="s">
        <v>330</v>
      </c>
      <c r="T450" t="s">
        <v>6</v>
      </c>
      <c r="U450" s="11">
        <f t="shared" si="36"/>
        <v>0.69076283180579534</v>
      </c>
      <c r="V450" t="s">
        <v>31</v>
      </c>
      <c r="Y450" t="s">
        <v>891</v>
      </c>
      <c r="Z450" t="s">
        <v>69</v>
      </c>
      <c r="AA450" s="11">
        <f t="shared" si="34"/>
        <v>0</v>
      </c>
      <c r="AB450" t="s">
        <v>30</v>
      </c>
      <c r="AE450" t="s">
        <v>891</v>
      </c>
      <c r="AF450" t="s">
        <v>69</v>
      </c>
      <c r="AG450" s="11">
        <f t="shared" si="35"/>
        <v>0</v>
      </c>
      <c r="AH450" t="s">
        <v>30</v>
      </c>
    </row>
    <row r="451" spans="7:34" x14ac:dyDescent="0.2">
      <c r="G451" t="s">
        <v>92</v>
      </c>
      <c r="H451" t="s">
        <v>5</v>
      </c>
      <c r="I451">
        <f>SUMIFS('CompilationCalcs - EPA EOL'!$G$4:$G$264,'CompilationCalcs - EPA EOL'!$F$4:$F$264,dataforsankey!$H451,'CompilationCalcs - EPA EOL'!$A$4:$A$264,dataforsankey!$J451,'CompilationCalcs - EPA EOL'!$B$4:$B$264,dataforsankey!$G451)</f>
        <v>0</v>
      </c>
      <c r="J451" t="s">
        <v>0</v>
      </c>
      <c r="M451" t="str">
        <f>'CompilationCalcs - Di et al.EOL'!A167</f>
        <v>HDPE</v>
      </c>
      <c r="N451" t="str">
        <f>'CompilationCalcs - Di et al.EOL'!C167</f>
        <v>Exports</v>
      </c>
      <c r="O451" s="11">
        <f>SUMIFS('CompilationCalcs - Di et al.EOL'!$D$4:$D$544,'CompilationCalcs - Di et al.EOL'!$A$4:$A$544,dataforsankey!$M451,'CompilationCalcs - Di et al.EOL'!$C$4:$C$544,$N451)</f>
        <v>0.20617443319212375</v>
      </c>
      <c r="P451" t="str">
        <f t="shared" si="38"/>
        <v>HDPE</v>
      </c>
      <c r="S451" t="s">
        <v>330</v>
      </c>
      <c r="T451" t="s">
        <v>5</v>
      </c>
      <c r="U451" s="11">
        <f t="shared" si="36"/>
        <v>8.2385632282265531E-2</v>
      </c>
      <c r="V451" t="s">
        <v>31</v>
      </c>
      <c r="Y451" t="s">
        <v>891</v>
      </c>
      <c r="Z451" t="s">
        <v>100</v>
      </c>
      <c r="AA451" s="11">
        <f t="shared" si="34"/>
        <v>0</v>
      </c>
      <c r="AB451" t="s">
        <v>30</v>
      </c>
      <c r="AE451" t="s">
        <v>891</v>
      </c>
      <c r="AF451" t="s">
        <v>100</v>
      </c>
      <c r="AG451" s="11">
        <f t="shared" si="35"/>
        <v>0</v>
      </c>
      <c r="AH451" t="s">
        <v>30</v>
      </c>
    </row>
    <row r="452" spans="7:34" x14ac:dyDescent="0.2">
      <c r="G452" t="s">
        <v>92</v>
      </c>
      <c r="H452" t="s">
        <v>5</v>
      </c>
      <c r="I452">
        <f>SUMIFS('CompilationCalcs - EPA EOL'!$G$4:$G$264,'CompilationCalcs - EPA EOL'!$F$4:$F$264,dataforsankey!$H452,'CompilationCalcs - EPA EOL'!$A$4:$A$264,dataforsankey!$J452,'CompilationCalcs - EPA EOL'!$B$4:$B$264,dataforsankey!$G452)</f>
        <v>0</v>
      </c>
      <c r="J452" t="s">
        <v>2</v>
      </c>
      <c r="M452" t="str">
        <f>'CompilationCalcs - Di et al.EOL'!A193</f>
        <v>PP</v>
      </c>
      <c r="N452" t="str">
        <f>'CompilationCalcs - Di et al.EOL'!C193</f>
        <v>Building and Construction</v>
      </c>
      <c r="O452" s="11">
        <f>SUMIFS('CompilationCalcs - Di et al.EOL'!$D$4:$D$544,'CompilationCalcs - Di et al.EOL'!$A$4:$A$544,dataforsankey!$M452,'CompilationCalcs - Di et al.EOL'!$C$4:$C$544,$N452)</f>
        <v>0.20617443319212375</v>
      </c>
      <c r="P452" t="str">
        <f t="shared" ref="P452:P455" si="39">M452</f>
        <v>PP</v>
      </c>
      <c r="S452" t="s">
        <v>330</v>
      </c>
      <c r="T452" t="s">
        <v>358</v>
      </c>
      <c r="U452" s="11">
        <f t="shared" si="36"/>
        <v>0</v>
      </c>
      <c r="V452" t="s">
        <v>31</v>
      </c>
      <c r="Y452" t="s">
        <v>891</v>
      </c>
      <c r="Z452" t="s">
        <v>39</v>
      </c>
      <c r="AA452" s="11">
        <f t="shared" si="34"/>
        <v>0</v>
      </c>
      <c r="AB452" t="s">
        <v>30</v>
      </c>
      <c r="AE452" t="s">
        <v>891</v>
      </c>
      <c r="AF452" t="s">
        <v>39</v>
      </c>
      <c r="AG452" s="11">
        <f t="shared" si="35"/>
        <v>0</v>
      </c>
      <c r="AH452" t="s">
        <v>30</v>
      </c>
    </row>
    <row r="453" spans="7:34" x14ac:dyDescent="0.2">
      <c r="G453" t="s">
        <v>92</v>
      </c>
      <c r="H453" t="s">
        <v>5</v>
      </c>
      <c r="I453">
        <f>SUMIFS('CompilationCalcs - EPA EOL'!$G$4:$G$264,'CompilationCalcs - EPA EOL'!$F$4:$F$264,dataforsankey!$H453,'CompilationCalcs - EPA EOL'!$A$4:$A$264,dataforsankey!$J453,'CompilationCalcs - EPA EOL'!$B$4:$B$264,dataforsankey!$G453)</f>
        <v>8.2643125496891789E-3</v>
      </c>
      <c r="J453" t="s">
        <v>1</v>
      </c>
      <c r="M453" t="str">
        <f>'CompilationCalcs - Di et al.EOL'!A194</f>
        <v>PP</v>
      </c>
      <c r="N453" t="str">
        <f>'CompilationCalcs - Di et al.EOL'!C194</f>
        <v>Furniture and Furnishings</v>
      </c>
      <c r="O453" s="11">
        <f>SUMIFS('CompilationCalcs - Di et al.EOL'!$D$4:$D$544,'CompilationCalcs - Di et al.EOL'!$A$4:$A$544,dataforsankey!$M453,'CompilationCalcs - Di et al.EOL'!$C$4:$C$544,$N453)</f>
        <v>0.20617443319212375</v>
      </c>
      <c r="P453" t="str">
        <f t="shared" si="39"/>
        <v>PP</v>
      </c>
      <c r="S453" t="s">
        <v>335</v>
      </c>
      <c r="T453" t="s">
        <v>191</v>
      </c>
      <c r="U453" s="11">
        <f t="shared" si="36"/>
        <v>0</v>
      </c>
      <c r="V453" t="s">
        <v>31</v>
      </c>
      <c r="Y453" t="s">
        <v>891</v>
      </c>
      <c r="Z453" t="s">
        <v>68</v>
      </c>
      <c r="AA453" s="11">
        <f t="shared" si="34"/>
        <v>0</v>
      </c>
      <c r="AB453" t="s">
        <v>30</v>
      </c>
      <c r="AE453" t="s">
        <v>891</v>
      </c>
      <c r="AF453" t="s">
        <v>68</v>
      </c>
      <c r="AG453" s="11">
        <f t="shared" si="35"/>
        <v>0</v>
      </c>
      <c r="AH453" t="s">
        <v>30</v>
      </c>
    </row>
    <row r="454" spans="7:34" x14ac:dyDescent="0.2">
      <c r="G454" t="s">
        <v>92</v>
      </c>
      <c r="H454" t="s">
        <v>5</v>
      </c>
      <c r="I454">
        <f>SUMIFS('CompilationCalcs - EPA EOL'!$G$4:$G$264,'CompilationCalcs - EPA EOL'!$F$4:$F$264,dataforsankey!$H454,'CompilationCalcs - EPA EOL'!$A$4:$A$264,dataforsankey!$J454,'CompilationCalcs - EPA EOL'!$B$4:$B$264,dataforsankey!$G454)</f>
        <v>0</v>
      </c>
      <c r="J454" t="s">
        <v>7</v>
      </c>
      <c r="M454" t="str">
        <f>'CompilationCalcs - Di et al.EOL'!A195</f>
        <v>PP</v>
      </c>
      <c r="N454" t="str">
        <f>'CompilationCalcs - Di et al.EOL'!C195</f>
        <v>Transportation</v>
      </c>
      <c r="O454" s="11">
        <f>SUMIFS('CompilationCalcs - Di et al.EOL'!$D$4:$D$544,'CompilationCalcs - Di et al.EOL'!$A$4:$A$544,dataforsankey!$M454,'CompilationCalcs - Di et al.EOL'!$C$4:$C$544,$N454)</f>
        <v>0.20617443319212375</v>
      </c>
      <c r="P454" t="str">
        <f t="shared" si="39"/>
        <v>PP</v>
      </c>
      <c r="S454" t="s">
        <v>335</v>
      </c>
      <c r="T454" t="s">
        <v>333</v>
      </c>
      <c r="U454" s="11">
        <f t="shared" si="36"/>
        <v>0</v>
      </c>
      <c r="V454" t="s">
        <v>31</v>
      </c>
      <c r="Y454" t="s">
        <v>891</v>
      </c>
      <c r="Z454" t="s">
        <v>63</v>
      </c>
      <c r="AA454" s="11">
        <f t="shared" si="34"/>
        <v>0</v>
      </c>
      <c r="AB454" t="s">
        <v>30</v>
      </c>
      <c r="AE454" t="s">
        <v>891</v>
      </c>
      <c r="AF454" t="s">
        <v>63</v>
      </c>
      <c r="AG454" s="11">
        <f t="shared" si="35"/>
        <v>0</v>
      </c>
      <c r="AH454" t="s">
        <v>30</v>
      </c>
    </row>
    <row r="455" spans="7:34" x14ac:dyDescent="0.2">
      <c r="G455" t="s">
        <v>92</v>
      </c>
      <c r="H455" t="s">
        <v>5</v>
      </c>
      <c r="I455">
        <f>SUMIFS('CompilationCalcs - EPA EOL'!$G$4:$G$264,'CompilationCalcs - EPA EOL'!$F$4:$F$264,dataforsankey!$H455,'CompilationCalcs - EPA EOL'!$A$4:$A$264,dataforsankey!$J455,'CompilationCalcs - EPA EOL'!$B$4:$B$264,dataforsankey!$G455)</f>
        <v>0</v>
      </c>
      <c r="J455" t="s">
        <v>8</v>
      </c>
      <c r="M455" t="str">
        <f>'CompilationCalcs - Di et al.EOL'!A196</f>
        <v>PP</v>
      </c>
      <c r="N455" t="str">
        <f>'CompilationCalcs - Di et al.EOL'!C196</f>
        <v>Industrial/Machinery</v>
      </c>
      <c r="O455" s="11">
        <f>SUMIFS('CompilationCalcs - Di et al.EOL'!$D$4:$D$544,'CompilationCalcs - Di et al.EOL'!$A$4:$A$544,dataforsankey!$M455,'CompilationCalcs - Di et al.EOL'!$C$4:$C$544,$N455)</f>
        <v>0.20617443319212375</v>
      </c>
      <c r="P455" t="str">
        <f t="shared" si="39"/>
        <v>PP</v>
      </c>
      <c r="S455" t="s">
        <v>335</v>
      </c>
      <c r="T455" t="s">
        <v>6</v>
      </c>
      <c r="U455" s="11">
        <f t="shared" si="36"/>
        <v>0</v>
      </c>
      <c r="V455" t="s">
        <v>31</v>
      </c>
      <c r="Y455" t="s">
        <v>891</v>
      </c>
      <c r="Z455" t="s">
        <v>92</v>
      </c>
      <c r="AA455" s="11">
        <f t="shared" si="34"/>
        <v>0</v>
      </c>
      <c r="AB455" t="s">
        <v>30</v>
      </c>
      <c r="AE455" t="s">
        <v>891</v>
      </c>
      <c r="AF455" t="s">
        <v>92</v>
      </c>
      <c r="AG455" s="11">
        <f t="shared" si="35"/>
        <v>0</v>
      </c>
      <c r="AH455" t="s">
        <v>30</v>
      </c>
    </row>
    <row r="456" spans="7:34" x14ac:dyDescent="0.2">
      <c r="G456" t="s">
        <v>92</v>
      </c>
      <c r="H456" t="s">
        <v>5</v>
      </c>
      <c r="I456">
        <f>SUMIFS('CompilationCalcs - EPA EOL'!$G$4:$G$264,'CompilationCalcs - EPA EOL'!$F$4:$F$264,dataforsankey!$H456,'CompilationCalcs - EPA EOL'!$A$4:$A$264,dataforsankey!$J456,'CompilationCalcs - EPA EOL'!$B$4:$B$264,dataforsankey!$G456)</f>
        <v>0</v>
      </c>
      <c r="J456" t="s">
        <v>9</v>
      </c>
      <c r="M456" t="str">
        <f>'CompilationCalcs - Di et al.EOL'!A197</f>
        <v>PP</v>
      </c>
      <c r="N456" t="str">
        <f>'CompilationCalcs - Di et al.EOL'!C197</f>
        <v>Packaging</v>
      </c>
      <c r="O456" s="11">
        <f>SUMIFS('CompilationCalcs - Di et al.EOL'!$D$4:$D$544,'CompilationCalcs - Di et al.EOL'!$A$4:$A$544,dataforsankey!$M456,'CompilationCalcs - Di et al.EOL'!$C$4:$C$544,$N456)</f>
        <v>0.20617443319212375</v>
      </c>
      <c r="P456" t="str">
        <f t="shared" si="38"/>
        <v>PP</v>
      </c>
      <c r="S456" t="s">
        <v>335</v>
      </c>
      <c r="T456" t="s">
        <v>5</v>
      </c>
      <c r="U456" s="11">
        <f t="shared" si="36"/>
        <v>0</v>
      </c>
      <c r="V456" t="s">
        <v>31</v>
      </c>
      <c r="Y456" t="s">
        <v>891</v>
      </c>
      <c r="Z456" t="s">
        <v>103</v>
      </c>
      <c r="AA456" s="11">
        <f t="shared" si="34"/>
        <v>0.13300030967320553</v>
      </c>
      <c r="AB456" t="s">
        <v>30</v>
      </c>
      <c r="AE456" t="s">
        <v>891</v>
      </c>
      <c r="AF456" t="s">
        <v>103</v>
      </c>
      <c r="AG456" s="11">
        <f t="shared" si="35"/>
        <v>0.13300030967320553</v>
      </c>
      <c r="AH456" t="s">
        <v>30</v>
      </c>
    </row>
    <row r="457" spans="7:34" x14ac:dyDescent="0.2">
      <c r="G457" t="s">
        <v>92</v>
      </c>
      <c r="H457" t="s">
        <v>5</v>
      </c>
      <c r="I457">
        <f>SUMIFS('CompilationCalcs - EPA EOL'!$G$4:$G$264,'CompilationCalcs - EPA EOL'!$F$4:$F$264,dataforsankey!$H457,'CompilationCalcs - EPA EOL'!$A$4:$A$264,dataforsankey!$J457,'CompilationCalcs - EPA EOL'!$B$4:$B$264,dataforsankey!$G457)</f>
        <v>0</v>
      </c>
      <c r="J457" t="s">
        <v>10</v>
      </c>
      <c r="M457" t="str">
        <f>'CompilationCalcs - Di et al.EOL'!A198</f>
        <v>PP</v>
      </c>
      <c r="N457" t="str">
        <f>'CompilationCalcs - Di et al.EOL'!C198</f>
        <v>Electrical/Electronic</v>
      </c>
      <c r="O457" s="11">
        <f>SUMIFS('CompilationCalcs - Di et al.EOL'!$D$4:$D$544,'CompilationCalcs - Di et al.EOL'!$A$4:$A$544,dataforsankey!$M457,'CompilationCalcs - Di et al.EOL'!$C$4:$C$544,$N457)</f>
        <v>0.20617443319212375</v>
      </c>
      <c r="P457" t="str">
        <f t="shared" si="38"/>
        <v>PP</v>
      </c>
      <c r="S457" t="s">
        <v>335</v>
      </c>
      <c r="T457" t="s">
        <v>358</v>
      </c>
      <c r="U457" s="11">
        <f t="shared" si="36"/>
        <v>0</v>
      </c>
      <c r="V457" t="s">
        <v>31</v>
      </c>
      <c r="Y457" t="s">
        <v>891</v>
      </c>
      <c r="Z457" t="s">
        <v>86</v>
      </c>
      <c r="AA457" s="11">
        <f t="shared" si="34"/>
        <v>0</v>
      </c>
      <c r="AB457" t="s">
        <v>30</v>
      </c>
      <c r="AE457" t="s">
        <v>891</v>
      </c>
      <c r="AF457" t="s">
        <v>86</v>
      </c>
      <c r="AG457" s="11">
        <f t="shared" si="35"/>
        <v>0</v>
      </c>
      <c r="AH457" t="s">
        <v>30</v>
      </c>
    </row>
    <row r="458" spans="7:34" x14ac:dyDescent="0.2">
      <c r="G458" t="s">
        <v>92</v>
      </c>
      <c r="H458" t="s">
        <v>5</v>
      </c>
      <c r="I458">
        <f>SUMIFS('CompilationCalcs - EPA EOL'!$G$4:$G$264,'CompilationCalcs - EPA EOL'!$F$4:$F$264,dataforsankey!$H458,'CompilationCalcs - EPA EOL'!$A$4:$A$264,dataforsankey!$J458,'CompilationCalcs - EPA EOL'!$B$4:$B$264,dataforsankey!$G458)</f>
        <v>0</v>
      </c>
      <c r="J458" t="s">
        <v>11</v>
      </c>
      <c r="M458" t="str">
        <f>'CompilationCalcs - Di et al.EOL'!A199</f>
        <v>PP</v>
      </c>
      <c r="N458" t="str">
        <f>'CompilationCalcs - Di et al.EOL'!C199</f>
        <v>Consumer and Institutional</v>
      </c>
      <c r="O458" s="11">
        <f>SUMIFS('CompilationCalcs - Di et al.EOL'!$D$4:$D$544,'CompilationCalcs - Di et al.EOL'!$A$4:$A$544,dataforsankey!$M458,'CompilationCalcs - Di et al.EOL'!$C$4:$C$544,$N458)</f>
        <v>0.20617443319212375</v>
      </c>
      <c r="P458" t="str">
        <f t="shared" si="38"/>
        <v>PP</v>
      </c>
      <c r="S458" t="s">
        <v>330</v>
      </c>
      <c r="T458" t="s">
        <v>191</v>
      </c>
      <c r="U458" s="11">
        <f t="shared" si="36"/>
        <v>0</v>
      </c>
      <c r="V458" t="s">
        <v>122</v>
      </c>
      <c r="Y458" t="s">
        <v>891</v>
      </c>
      <c r="Z458" t="s">
        <v>18</v>
      </c>
      <c r="AA458" s="11">
        <f t="shared" si="34"/>
        <v>0</v>
      </c>
      <c r="AB458" t="s">
        <v>30</v>
      </c>
      <c r="AE458" t="s">
        <v>891</v>
      </c>
      <c r="AF458" t="s">
        <v>18</v>
      </c>
      <c r="AG458" s="11">
        <f t="shared" si="35"/>
        <v>0</v>
      </c>
      <c r="AH458" t="s">
        <v>30</v>
      </c>
    </row>
    <row r="459" spans="7:34" x14ac:dyDescent="0.2">
      <c r="G459" t="s">
        <v>92</v>
      </c>
      <c r="H459" t="s">
        <v>5</v>
      </c>
      <c r="I459">
        <f>SUMIFS('CompilationCalcs - EPA EOL'!$G$4:$G$264,'CompilationCalcs - EPA EOL'!$F$4:$F$264,dataforsankey!$H459,'CompilationCalcs - EPA EOL'!$A$4:$A$264,dataforsankey!$J459,'CompilationCalcs - EPA EOL'!$B$4:$B$264,dataforsankey!$G459)</f>
        <v>0</v>
      </c>
      <c r="J459" t="s">
        <v>127</v>
      </c>
      <c r="M459" t="str">
        <f>'CompilationCalcs - Di et al.EOL'!A200</f>
        <v>PP</v>
      </c>
      <c r="N459" t="str">
        <f>'CompilationCalcs - Di et al.EOL'!C200</f>
        <v>Adhesives/Inks/Coatings</v>
      </c>
      <c r="O459" s="11">
        <f>SUMIFS('CompilationCalcs - Di et al.EOL'!$D$4:$D$544,'CompilationCalcs - Di et al.EOL'!$A$4:$A$544,dataforsankey!$M459,'CompilationCalcs - Di et al.EOL'!$C$4:$C$544,$N459)</f>
        <v>0.20617443319212375</v>
      </c>
      <c r="P459" t="str">
        <f t="shared" si="38"/>
        <v>PP</v>
      </c>
      <c r="S459" t="s">
        <v>330</v>
      </c>
      <c r="T459" t="s">
        <v>333</v>
      </c>
      <c r="U459" s="11">
        <f t="shared" si="36"/>
        <v>0</v>
      </c>
      <c r="V459" t="s">
        <v>122</v>
      </c>
      <c r="Y459" t="s">
        <v>891</v>
      </c>
      <c r="Z459" t="s">
        <v>38</v>
      </c>
      <c r="AA459" s="11">
        <f t="shared" si="34"/>
        <v>0</v>
      </c>
      <c r="AB459" t="s">
        <v>31</v>
      </c>
      <c r="AE459" t="s">
        <v>891</v>
      </c>
      <c r="AF459" t="s">
        <v>38</v>
      </c>
      <c r="AG459" s="11">
        <f t="shared" si="35"/>
        <v>0</v>
      </c>
      <c r="AH459" t="s">
        <v>31</v>
      </c>
    </row>
    <row r="460" spans="7:34" x14ac:dyDescent="0.2">
      <c r="G460" t="s">
        <v>92</v>
      </c>
      <c r="H460" t="s">
        <v>5</v>
      </c>
      <c r="I460">
        <f>SUMIFS('CompilationCalcs - EPA EOL'!$G$4:$G$264,'CompilationCalcs - EPA EOL'!$F$4:$F$264,dataforsankey!$H460,'CompilationCalcs - EPA EOL'!$A$4:$A$264,dataforsankey!$J460,'CompilationCalcs - EPA EOL'!$B$4:$B$264,dataforsankey!$G460)</f>
        <v>0</v>
      </c>
      <c r="J460" t="s">
        <v>122</v>
      </c>
      <c r="M460" t="str">
        <f>'CompilationCalcs - Di et al.EOL'!A201</f>
        <v>PP</v>
      </c>
      <c r="N460" t="str">
        <f>'CompilationCalcs - Di et al.EOL'!C201</f>
        <v>Textiles, Fibers and Apparel</v>
      </c>
      <c r="O460" s="11">
        <f>SUMIFS('CompilationCalcs - Di et al.EOL'!$D$4:$D$544,'CompilationCalcs - Di et al.EOL'!$A$4:$A$544,dataforsankey!$M460,'CompilationCalcs - Di et al.EOL'!$C$4:$C$544,$N460)</f>
        <v>0</v>
      </c>
      <c r="P460" t="str">
        <f t="shared" si="38"/>
        <v>PP</v>
      </c>
      <c r="S460" t="s">
        <v>330</v>
      </c>
      <c r="T460" t="s">
        <v>6</v>
      </c>
      <c r="U460" s="11">
        <f t="shared" si="36"/>
        <v>0.54101126897570861</v>
      </c>
      <c r="V460" t="s">
        <v>122</v>
      </c>
      <c r="Y460" t="s">
        <v>891</v>
      </c>
      <c r="Z460" t="s">
        <v>99</v>
      </c>
      <c r="AA460" s="11">
        <f t="shared" si="34"/>
        <v>0</v>
      </c>
      <c r="AB460" t="s">
        <v>31</v>
      </c>
      <c r="AE460" t="s">
        <v>891</v>
      </c>
      <c r="AF460" t="s">
        <v>99</v>
      </c>
      <c r="AG460" s="11">
        <f t="shared" si="35"/>
        <v>0</v>
      </c>
      <c r="AH460" t="s">
        <v>31</v>
      </c>
    </row>
    <row r="461" spans="7:34" x14ac:dyDescent="0.2">
      <c r="G461" t="s">
        <v>92</v>
      </c>
      <c r="H461" t="s">
        <v>5</v>
      </c>
      <c r="I461">
        <f>SUMIFS('CompilationCalcs - EPA EOL'!$G$4:$G$264,'CompilationCalcs - EPA EOL'!$F$4:$F$264,dataforsankey!$H461,'CompilationCalcs - EPA EOL'!$A$4:$A$264,dataforsankey!$J461,'CompilationCalcs - EPA EOL'!$B$4:$B$264,dataforsankey!$G461)</f>
        <v>0</v>
      </c>
      <c r="J461" t="s">
        <v>82</v>
      </c>
      <c r="M461" t="str">
        <f>'CompilationCalcs - Di et al.EOL'!A202</f>
        <v>PP</v>
      </c>
      <c r="N461" t="str">
        <f>'CompilationCalcs - Di et al.EOL'!C202</f>
        <v>Other End Use Markets</v>
      </c>
      <c r="O461" s="11">
        <f>SUMIFS('CompilationCalcs - Di et al.EOL'!$D$4:$D$544,'CompilationCalcs - Di et al.EOL'!$A$4:$A$544,dataforsankey!$M461,'CompilationCalcs - Di et al.EOL'!$C$4:$C$544,$N461)</f>
        <v>0.20617443319212375</v>
      </c>
      <c r="P461" t="str">
        <f t="shared" si="38"/>
        <v>PP</v>
      </c>
      <c r="S461" t="s">
        <v>330</v>
      </c>
      <c r="T461" t="s">
        <v>5</v>
      </c>
      <c r="U461" s="11">
        <f t="shared" si="36"/>
        <v>4.9609054289388853E-2</v>
      </c>
      <c r="V461" t="s">
        <v>122</v>
      </c>
      <c r="Y461" t="s">
        <v>891</v>
      </c>
      <c r="Z461" t="s">
        <v>69</v>
      </c>
      <c r="AA461" s="11">
        <f t="shared" si="34"/>
        <v>4.0629983761679575E-2</v>
      </c>
      <c r="AB461" t="s">
        <v>31</v>
      </c>
      <c r="AE461" t="s">
        <v>891</v>
      </c>
      <c r="AF461" t="s">
        <v>69</v>
      </c>
      <c r="AG461" s="11">
        <f t="shared" si="35"/>
        <v>4.0629983761679575E-2</v>
      </c>
      <c r="AH461" t="s">
        <v>31</v>
      </c>
    </row>
    <row r="462" spans="7:34" x14ac:dyDescent="0.2">
      <c r="G462" t="s">
        <v>92</v>
      </c>
      <c r="H462" t="s">
        <v>6</v>
      </c>
      <c r="I462">
        <f>SUMIFS('CompilationCalcs - EPA EOL'!$G$4:$G$264,'CompilationCalcs - EPA EOL'!$F$4:$F$264,dataforsankey!$H462,'CompilationCalcs - EPA EOL'!$A$4:$A$264,dataforsankey!$J462,'CompilationCalcs - EPA EOL'!$B$4:$B$264,dataforsankey!$G462)</f>
        <v>0</v>
      </c>
      <c r="J462" t="s">
        <v>0</v>
      </c>
      <c r="M462" t="str">
        <f>'CompilationCalcs - Di et al.EOL'!A203</f>
        <v>PP</v>
      </c>
      <c r="N462" t="str">
        <f>'CompilationCalcs - Di et al.EOL'!C203</f>
        <v>Exports</v>
      </c>
      <c r="O462" s="11">
        <f>SUMIFS('CompilationCalcs - Di et al.EOL'!$D$4:$D$544,'CompilationCalcs - Di et al.EOL'!$A$4:$A$544,dataforsankey!$M462,'CompilationCalcs - Di et al.EOL'!$C$4:$C$544,$N462)</f>
        <v>0.20617443319212375</v>
      </c>
      <c r="P462" t="str">
        <f t="shared" si="38"/>
        <v>PP</v>
      </c>
      <c r="S462" t="s">
        <v>330</v>
      </c>
      <c r="T462" t="s">
        <v>358</v>
      </c>
      <c r="U462" s="11">
        <f t="shared" si="36"/>
        <v>0</v>
      </c>
      <c r="V462" t="s">
        <v>122</v>
      </c>
      <c r="Y462" t="s">
        <v>891</v>
      </c>
      <c r="Z462" t="s">
        <v>100</v>
      </c>
      <c r="AA462" s="11">
        <f t="shared" si="34"/>
        <v>0</v>
      </c>
      <c r="AB462" t="s">
        <v>31</v>
      </c>
      <c r="AE462" t="s">
        <v>891</v>
      </c>
      <c r="AF462" t="s">
        <v>100</v>
      </c>
      <c r="AG462" s="11">
        <f t="shared" si="35"/>
        <v>0</v>
      </c>
      <c r="AH462" t="s">
        <v>31</v>
      </c>
    </row>
    <row r="463" spans="7:34" x14ac:dyDescent="0.2">
      <c r="G463" t="s">
        <v>92</v>
      </c>
      <c r="H463" t="s">
        <v>6</v>
      </c>
      <c r="I463">
        <f>SUMIFS('CompilationCalcs - EPA EOL'!$G$4:$G$264,'CompilationCalcs - EPA EOL'!$F$4:$F$264,dataforsankey!$H463,'CompilationCalcs - EPA EOL'!$A$4:$A$264,dataforsankey!$J463,'CompilationCalcs - EPA EOL'!$B$4:$B$264,dataforsankey!$G463)</f>
        <v>0</v>
      </c>
      <c r="J463" t="s">
        <v>2</v>
      </c>
      <c r="M463" t="str">
        <f>'CompilationCalcs - Di et al.EOL'!A229</f>
        <v>PS</v>
      </c>
      <c r="N463" t="str">
        <f>'CompilationCalcs - Di et al.EOL'!C229</f>
        <v>Building and Construction</v>
      </c>
      <c r="O463" s="11">
        <f>SUMIFS('CompilationCalcs - Di et al.EOL'!$D$4:$D$544,'CompilationCalcs - Di et al.EOL'!$A$4:$A$544,dataforsankey!$M463,'CompilationCalcs - Di et al.EOL'!$C$4:$C$544,$N463)</f>
        <v>0.20617443319212375</v>
      </c>
      <c r="P463" t="str">
        <f t="shared" si="38"/>
        <v>PS</v>
      </c>
      <c r="S463" t="s">
        <v>335</v>
      </c>
      <c r="T463" t="s">
        <v>191</v>
      </c>
      <c r="U463" s="11">
        <f t="shared" si="36"/>
        <v>0</v>
      </c>
      <c r="V463" t="s">
        <v>122</v>
      </c>
      <c r="Y463" t="s">
        <v>891</v>
      </c>
      <c r="Z463" t="s">
        <v>39</v>
      </c>
      <c r="AA463" s="11">
        <f t="shared" si="34"/>
        <v>0</v>
      </c>
      <c r="AB463" t="s">
        <v>31</v>
      </c>
      <c r="AE463" t="s">
        <v>891</v>
      </c>
      <c r="AF463" t="s">
        <v>39</v>
      </c>
      <c r="AG463" s="11">
        <f t="shared" si="35"/>
        <v>0</v>
      </c>
      <c r="AH463" t="s">
        <v>31</v>
      </c>
    </row>
    <row r="464" spans="7:34" x14ac:dyDescent="0.2">
      <c r="G464" t="s">
        <v>92</v>
      </c>
      <c r="H464" t="s">
        <v>6</v>
      </c>
      <c r="I464">
        <f>SUMIFS('CompilationCalcs - EPA EOL'!$G$4:$G$264,'CompilationCalcs - EPA EOL'!$F$4:$F$264,dataforsankey!$H464,'CompilationCalcs - EPA EOL'!$A$4:$A$264,dataforsankey!$J464,'CompilationCalcs - EPA EOL'!$B$4:$B$264,dataforsankey!$G464)</f>
        <v>3.5536543963663465E-2</v>
      </c>
      <c r="J464" t="s">
        <v>1</v>
      </c>
      <c r="M464" t="str">
        <f>'CompilationCalcs - Di et al.EOL'!A230</f>
        <v>PS</v>
      </c>
      <c r="N464" t="str">
        <f>'CompilationCalcs - Di et al.EOL'!C230</f>
        <v>Furniture and Furnishings</v>
      </c>
      <c r="O464" s="11">
        <f>SUMIFS('CompilationCalcs - Di et al.EOL'!$D$4:$D$544,'CompilationCalcs - Di et al.EOL'!$A$4:$A$544,dataforsankey!$M464,'CompilationCalcs - Di et al.EOL'!$C$4:$C$544,$N464)</f>
        <v>0.20617443319212375</v>
      </c>
      <c r="P464" t="str">
        <f t="shared" si="38"/>
        <v>PS</v>
      </c>
      <c r="S464" t="s">
        <v>335</v>
      </c>
      <c r="T464" t="s">
        <v>333</v>
      </c>
      <c r="U464" s="11">
        <f t="shared" si="36"/>
        <v>0</v>
      </c>
      <c r="V464" t="s">
        <v>122</v>
      </c>
      <c r="Y464" t="s">
        <v>891</v>
      </c>
      <c r="Z464" t="s">
        <v>68</v>
      </c>
      <c r="AA464" s="11">
        <f t="shared" si="34"/>
        <v>0.17294909919791226</v>
      </c>
      <c r="AB464" t="s">
        <v>31</v>
      </c>
      <c r="AE464" t="s">
        <v>891</v>
      </c>
      <c r="AF464" t="s">
        <v>68</v>
      </c>
      <c r="AG464" s="11">
        <f t="shared" si="35"/>
        <v>0.17294909919791226</v>
      </c>
      <c r="AH464" t="s">
        <v>31</v>
      </c>
    </row>
    <row r="465" spans="7:34" x14ac:dyDescent="0.2">
      <c r="G465" t="s">
        <v>92</v>
      </c>
      <c r="H465" t="s">
        <v>6</v>
      </c>
      <c r="I465">
        <f>SUMIFS('CompilationCalcs - EPA EOL'!$G$4:$G$264,'CompilationCalcs - EPA EOL'!$F$4:$F$264,dataforsankey!$H465,'CompilationCalcs - EPA EOL'!$A$4:$A$264,dataforsankey!$J465,'CompilationCalcs - EPA EOL'!$B$4:$B$264,dataforsankey!$G465)</f>
        <v>0</v>
      </c>
      <c r="J465" t="s">
        <v>7</v>
      </c>
      <c r="M465" t="str">
        <f>'CompilationCalcs - Di et al.EOL'!A231</f>
        <v>PS</v>
      </c>
      <c r="N465" t="str">
        <f>'CompilationCalcs - Di et al.EOL'!C231</f>
        <v>Transportation</v>
      </c>
      <c r="O465" s="11">
        <f>SUMIFS('CompilationCalcs - Di et al.EOL'!$D$4:$D$544,'CompilationCalcs - Di et al.EOL'!$A$4:$A$544,dataforsankey!$M465,'CompilationCalcs - Di et al.EOL'!$C$4:$C$544,$N465)</f>
        <v>0.20617443319212375</v>
      </c>
      <c r="P465" t="str">
        <f t="shared" si="38"/>
        <v>PS</v>
      </c>
      <c r="S465" t="s">
        <v>335</v>
      </c>
      <c r="T465" t="s">
        <v>6</v>
      </c>
      <c r="U465" s="11">
        <f t="shared" si="36"/>
        <v>0</v>
      </c>
      <c r="V465" t="s">
        <v>122</v>
      </c>
      <c r="Y465" t="s">
        <v>891</v>
      </c>
      <c r="Z465" t="s">
        <v>63</v>
      </c>
      <c r="AA465" s="11">
        <f t="shared" si="34"/>
        <v>1.9467701227347266E-2</v>
      </c>
      <c r="AB465" t="s">
        <v>31</v>
      </c>
      <c r="AE465" t="s">
        <v>891</v>
      </c>
      <c r="AF465" t="s">
        <v>63</v>
      </c>
      <c r="AG465" s="11">
        <f t="shared" si="35"/>
        <v>1.9467701227347266E-2</v>
      </c>
      <c r="AH465" t="s">
        <v>31</v>
      </c>
    </row>
    <row r="466" spans="7:34" x14ac:dyDescent="0.2">
      <c r="G466" t="s">
        <v>92</v>
      </c>
      <c r="H466" t="s">
        <v>6</v>
      </c>
      <c r="I466">
        <f>SUMIFS('CompilationCalcs - EPA EOL'!$G$4:$G$264,'CompilationCalcs - EPA EOL'!$F$4:$F$264,dataforsankey!$H466,'CompilationCalcs - EPA EOL'!$A$4:$A$264,dataforsankey!$J466,'CompilationCalcs - EPA EOL'!$B$4:$B$264,dataforsankey!$G466)</f>
        <v>0</v>
      </c>
      <c r="J466" t="s">
        <v>8</v>
      </c>
      <c r="M466" t="str">
        <f>'CompilationCalcs - Di et al.EOL'!A232</f>
        <v>PS</v>
      </c>
      <c r="N466" t="str">
        <f>'CompilationCalcs - Di et al.EOL'!C232</f>
        <v>Industrial/Machinery</v>
      </c>
      <c r="O466" s="11">
        <f>SUMIFS('CompilationCalcs - Di et al.EOL'!$D$4:$D$544,'CompilationCalcs - Di et al.EOL'!$A$4:$A$544,dataforsankey!$M466,'CompilationCalcs - Di et al.EOL'!$C$4:$C$544,$N466)</f>
        <v>0.20617443319212375</v>
      </c>
      <c r="P466" t="str">
        <f t="shared" si="38"/>
        <v>PS</v>
      </c>
      <c r="S466" t="s">
        <v>335</v>
      </c>
      <c r="T466" t="s">
        <v>5</v>
      </c>
      <c r="U466" s="11">
        <f t="shared" si="36"/>
        <v>0</v>
      </c>
      <c r="V466" t="s">
        <v>122</v>
      </c>
      <c r="Y466" t="s">
        <v>891</v>
      </c>
      <c r="Z466" t="s">
        <v>92</v>
      </c>
      <c r="AA466" s="11">
        <f t="shared" ref="AA466:AA529" si="40">SUMIFS($O$23:$O$953,$M$23:$M$953,Y466,$N$23:$N$953,Z466,$P$23:$P$953,AB466)</f>
        <v>0</v>
      </c>
      <c r="AB466" t="s">
        <v>31</v>
      </c>
      <c r="AE466" t="s">
        <v>891</v>
      </c>
      <c r="AF466" t="s">
        <v>92</v>
      </c>
      <c r="AG466" s="11">
        <f t="shared" ref="AG466:AG529" si="41">SUMIFS($O$23:$O$953,$M$23:$M$953,AE466,$N$23:$N$953,AF466,$P$23:$P$953,AH466)</f>
        <v>0</v>
      </c>
      <c r="AH466" t="s">
        <v>31</v>
      </c>
    </row>
    <row r="467" spans="7:34" x14ac:dyDescent="0.2">
      <c r="G467" t="s">
        <v>92</v>
      </c>
      <c r="H467" t="s">
        <v>6</v>
      </c>
      <c r="I467">
        <f>SUMIFS('CompilationCalcs - EPA EOL'!$G$4:$G$264,'CompilationCalcs - EPA EOL'!$F$4:$F$264,dataforsankey!$H467,'CompilationCalcs - EPA EOL'!$A$4:$A$264,dataforsankey!$J467,'CompilationCalcs - EPA EOL'!$B$4:$B$264,dataforsankey!$G467)</f>
        <v>0</v>
      </c>
      <c r="J467" t="s">
        <v>9</v>
      </c>
      <c r="M467" t="str">
        <f>'CompilationCalcs - Di et al.EOL'!A233</f>
        <v>PS</v>
      </c>
      <c r="N467" t="str">
        <f>'CompilationCalcs - Di et al.EOL'!C233</f>
        <v>Packaging</v>
      </c>
      <c r="O467" s="11">
        <f>SUMIFS('CompilationCalcs - Di et al.EOL'!$D$4:$D$544,'CompilationCalcs - Di et al.EOL'!$A$4:$A$544,dataforsankey!$M467,'CompilationCalcs - Di et al.EOL'!$C$4:$C$544,$N467)</f>
        <v>0.20617443319212375</v>
      </c>
      <c r="P467" t="str">
        <f t="shared" ref="P467:P484" si="42">M467</f>
        <v>PS</v>
      </c>
      <c r="S467" t="s">
        <v>335</v>
      </c>
      <c r="T467" t="s">
        <v>358</v>
      </c>
      <c r="U467" s="11">
        <f t="shared" si="36"/>
        <v>0</v>
      </c>
      <c r="V467" t="s">
        <v>122</v>
      </c>
      <c r="Y467" t="s">
        <v>891</v>
      </c>
      <c r="Z467" t="s">
        <v>103</v>
      </c>
      <c r="AA467" s="11">
        <f t="shared" si="40"/>
        <v>0</v>
      </c>
      <c r="AB467" t="s">
        <v>31</v>
      </c>
      <c r="AE467" t="s">
        <v>891</v>
      </c>
      <c r="AF467" t="s">
        <v>103</v>
      </c>
      <c r="AG467" s="11">
        <f t="shared" si="41"/>
        <v>0</v>
      </c>
      <c r="AH467" t="s">
        <v>31</v>
      </c>
    </row>
    <row r="468" spans="7:34" x14ac:dyDescent="0.2">
      <c r="G468" t="s">
        <v>92</v>
      </c>
      <c r="H468" t="s">
        <v>6</v>
      </c>
      <c r="I468">
        <f>SUMIFS('CompilationCalcs - EPA EOL'!$G$4:$G$264,'CompilationCalcs - EPA EOL'!$F$4:$F$264,dataforsankey!$H468,'CompilationCalcs - EPA EOL'!$A$4:$A$264,dataforsankey!$J468,'CompilationCalcs - EPA EOL'!$B$4:$B$264,dataforsankey!$G468)</f>
        <v>0</v>
      </c>
      <c r="J468" t="s">
        <v>10</v>
      </c>
      <c r="M468" t="str">
        <f>'CompilationCalcs - Di et al.EOL'!A234</f>
        <v>PS</v>
      </c>
      <c r="N468" t="str">
        <f>'CompilationCalcs - Di et al.EOL'!C234</f>
        <v>Electrical/Electronic</v>
      </c>
      <c r="O468" s="11">
        <f>SUMIFS('CompilationCalcs - Di et al.EOL'!$D$4:$D$544,'CompilationCalcs - Di et al.EOL'!$A$4:$A$544,dataforsankey!$M468,'CompilationCalcs - Di et al.EOL'!$C$4:$C$544,$N468)</f>
        <v>0.20617443319212375</v>
      </c>
      <c r="P468" t="str">
        <f t="shared" si="42"/>
        <v>PS</v>
      </c>
      <c r="S468" t="s">
        <v>330</v>
      </c>
      <c r="T468" t="s">
        <v>191</v>
      </c>
      <c r="U468" s="11">
        <f t="shared" si="36"/>
        <v>0</v>
      </c>
      <c r="V468" t="s">
        <v>32</v>
      </c>
      <c r="Y468" t="s">
        <v>891</v>
      </c>
      <c r="Z468" t="s">
        <v>86</v>
      </c>
      <c r="AA468" s="11">
        <f t="shared" si="40"/>
        <v>0</v>
      </c>
      <c r="AB468" t="s">
        <v>31</v>
      </c>
      <c r="AE468" t="s">
        <v>891</v>
      </c>
      <c r="AF468" t="s">
        <v>86</v>
      </c>
      <c r="AG468" s="11">
        <f t="shared" si="41"/>
        <v>0</v>
      </c>
      <c r="AH468" t="s">
        <v>31</v>
      </c>
    </row>
    <row r="469" spans="7:34" x14ac:dyDescent="0.2">
      <c r="G469" t="s">
        <v>92</v>
      </c>
      <c r="H469" t="s">
        <v>6</v>
      </c>
      <c r="I469">
        <f>SUMIFS('CompilationCalcs - EPA EOL'!$G$4:$G$264,'CompilationCalcs - EPA EOL'!$F$4:$F$264,dataforsankey!$H469,'CompilationCalcs - EPA EOL'!$A$4:$A$264,dataforsankey!$J469,'CompilationCalcs - EPA EOL'!$B$4:$B$264,dataforsankey!$G469)</f>
        <v>0</v>
      </c>
      <c r="J469" t="s">
        <v>11</v>
      </c>
      <c r="M469" t="str">
        <f>'CompilationCalcs - Di et al.EOL'!A235</f>
        <v>PS</v>
      </c>
      <c r="N469" t="str">
        <f>'CompilationCalcs - Di et al.EOL'!C235</f>
        <v>Consumer and Institutional</v>
      </c>
      <c r="O469" s="11">
        <f>SUMIFS('CompilationCalcs - Di et al.EOL'!$D$4:$D$544,'CompilationCalcs - Di et al.EOL'!$A$4:$A$544,dataforsankey!$M469,'CompilationCalcs - Di et al.EOL'!$C$4:$C$544,$N469)</f>
        <v>0.20617443319212375</v>
      </c>
      <c r="P469" t="str">
        <f t="shared" si="42"/>
        <v>PS</v>
      </c>
      <c r="S469" t="s">
        <v>330</v>
      </c>
      <c r="T469" t="s">
        <v>333</v>
      </c>
      <c r="U469" s="11">
        <f t="shared" si="36"/>
        <v>0.26780628148834112</v>
      </c>
      <c r="V469" t="s">
        <v>32</v>
      </c>
      <c r="Y469" t="s">
        <v>891</v>
      </c>
      <c r="Z469" t="s">
        <v>18</v>
      </c>
      <c r="AA469" s="11">
        <f t="shared" si="40"/>
        <v>0</v>
      </c>
      <c r="AB469" t="s">
        <v>31</v>
      </c>
      <c r="AE469" t="s">
        <v>891</v>
      </c>
      <c r="AF469" t="s">
        <v>18</v>
      </c>
      <c r="AG469" s="11">
        <f t="shared" si="41"/>
        <v>0</v>
      </c>
      <c r="AH469" t="s">
        <v>31</v>
      </c>
    </row>
    <row r="470" spans="7:34" x14ac:dyDescent="0.2">
      <c r="G470" t="s">
        <v>92</v>
      </c>
      <c r="H470" t="s">
        <v>6</v>
      </c>
      <c r="I470">
        <f>SUMIFS('CompilationCalcs - EPA EOL'!$G$4:$G$264,'CompilationCalcs - EPA EOL'!$F$4:$F$264,dataforsankey!$H470,'CompilationCalcs - EPA EOL'!$A$4:$A$264,dataforsankey!$J470,'CompilationCalcs - EPA EOL'!$B$4:$B$264,dataforsankey!$G470)</f>
        <v>0</v>
      </c>
      <c r="J470" t="s">
        <v>127</v>
      </c>
      <c r="M470" t="str">
        <f>'CompilationCalcs - Di et al.EOL'!A236</f>
        <v>PS</v>
      </c>
      <c r="N470" t="str">
        <f>'CompilationCalcs - Di et al.EOL'!C236</f>
        <v>Adhesives/Inks/Coatings</v>
      </c>
      <c r="O470" s="11">
        <f>SUMIFS('CompilationCalcs - Di et al.EOL'!$D$4:$D$544,'CompilationCalcs - Di et al.EOL'!$A$4:$A$544,dataforsankey!$M470,'CompilationCalcs - Di et al.EOL'!$C$4:$C$544,$N470)</f>
        <v>0.20617443319212375</v>
      </c>
      <c r="P470" t="str">
        <f t="shared" si="42"/>
        <v>PS</v>
      </c>
      <c r="S470" t="s">
        <v>330</v>
      </c>
      <c r="T470" t="s">
        <v>6</v>
      </c>
      <c r="U470" s="11">
        <f t="shared" si="36"/>
        <v>2.2808891794010639</v>
      </c>
      <c r="V470" t="s">
        <v>32</v>
      </c>
      <c r="Y470" t="s">
        <v>891</v>
      </c>
      <c r="Z470" t="s">
        <v>38</v>
      </c>
      <c r="AA470" s="11">
        <f t="shared" si="40"/>
        <v>0</v>
      </c>
      <c r="AB470" t="s">
        <v>122</v>
      </c>
      <c r="AE470" t="s">
        <v>891</v>
      </c>
      <c r="AF470" t="s">
        <v>38</v>
      </c>
      <c r="AG470" s="11">
        <f t="shared" si="41"/>
        <v>0</v>
      </c>
      <c r="AH470" t="s">
        <v>122</v>
      </c>
    </row>
    <row r="471" spans="7:34" x14ac:dyDescent="0.2">
      <c r="G471" t="s">
        <v>92</v>
      </c>
      <c r="H471" t="s">
        <v>6</v>
      </c>
      <c r="I471">
        <f>SUMIFS('CompilationCalcs - EPA EOL'!$G$4:$G$264,'CompilationCalcs - EPA EOL'!$F$4:$F$264,dataforsankey!$H471,'CompilationCalcs - EPA EOL'!$A$4:$A$264,dataforsankey!$J471,'CompilationCalcs - EPA EOL'!$B$4:$B$264,dataforsankey!$G471)</f>
        <v>0</v>
      </c>
      <c r="J471" t="s">
        <v>122</v>
      </c>
      <c r="M471" t="str">
        <f>'CompilationCalcs - Di et al.EOL'!A237</f>
        <v>PS</v>
      </c>
      <c r="N471" t="str">
        <f>'CompilationCalcs - Di et al.EOL'!C237</f>
        <v>Textiles, Fibers and Apparel</v>
      </c>
      <c r="O471" s="11">
        <f>SUMIFS('CompilationCalcs - Di et al.EOL'!$D$4:$D$544,'CompilationCalcs - Di et al.EOL'!$A$4:$A$544,dataforsankey!$M471,'CompilationCalcs - Di et al.EOL'!$C$4:$C$544,$N471)</f>
        <v>0</v>
      </c>
      <c r="P471" t="str">
        <f t="shared" si="42"/>
        <v>PS</v>
      </c>
      <c r="S471" t="s">
        <v>330</v>
      </c>
      <c r="T471" t="s">
        <v>5</v>
      </c>
      <c r="U471" s="11">
        <f t="shared" ref="U471:U534" si="43">SUMIFS($O$23:$O$935,$M$23:$M$935,S471,$N$23:$N$935,T471,$P$23:$P$935,V471)</f>
        <v>0.23370746366478828</v>
      </c>
      <c r="V471" t="s">
        <v>32</v>
      </c>
      <c r="Y471" t="s">
        <v>891</v>
      </c>
      <c r="Z471" t="s">
        <v>99</v>
      </c>
      <c r="AA471" s="11">
        <f t="shared" si="40"/>
        <v>0</v>
      </c>
      <c r="AB471" t="s">
        <v>122</v>
      </c>
      <c r="AE471" t="s">
        <v>891</v>
      </c>
      <c r="AF471" t="s">
        <v>99</v>
      </c>
      <c r="AG471" s="11">
        <f t="shared" si="41"/>
        <v>0</v>
      </c>
      <c r="AH471" t="s">
        <v>122</v>
      </c>
    </row>
    <row r="472" spans="7:34" x14ac:dyDescent="0.2">
      <c r="G472" t="s">
        <v>92</v>
      </c>
      <c r="H472" t="s">
        <v>6</v>
      </c>
      <c r="I472">
        <f>SUMIFS('CompilationCalcs - EPA EOL'!$G$4:$G$264,'CompilationCalcs - EPA EOL'!$F$4:$F$264,dataforsankey!$H472,'CompilationCalcs - EPA EOL'!$A$4:$A$264,dataforsankey!$J472,'CompilationCalcs - EPA EOL'!$B$4:$B$264,dataforsankey!$G472)</f>
        <v>0</v>
      </c>
      <c r="J472" t="s">
        <v>82</v>
      </c>
      <c r="M472" t="str">
        <f>'CompilationCalcs - Di et al.EOL'!A238</f>
        <v>PS</v>
      </c>
      <c r="N472" t="str">
        <f>'CompilationCalcs - Di et al.EOL'!C238</f>
        <v>Other End Use Markets</v>
      </c>
      <c r="O472" s="11">
        <f>SUMIFS('CompilationCalcs - Di et al.EOL'!$D$4:$D$544,'CompilationCalcs - Di et al.EOL'!$A$4:$A$544,dataforsankey!$M472,'CompilationCalcs - Di et al.EOL'!$C$4:$C$544,$N472)</f>
        <v>0.20617443319212375</v>
      </c>
      <c r="P472" t="str">
        <f t="shared" si="42"/>
        <v>PS</v>
      </c>
      <c r="S472" t="s">
        <v>330</v>
      </c>
      <c r="T472" t="s">
        <v>358</v>
      </c>
      <c r="U472" s="11">
        <f t="shared" si="43"/>
        <v>0</v>
      </c>
      <c r="V472" t="s">
        <v>32</v>
      </c>
      <c r="Y472" t="s">
        <v>891</v>
      </c>
      <c r="Z472" t="s">
        <v>69</v>
      </c>
      <c r="AA472" s="11">
        <f t="shared" si="40"/>
        <v>0</v>
      </c>
      <c r="AB472" t="s">
        <v>122</v>
      </c>
      <c r="AE472" t="s">
        <v>891</v>
      </c>
      <c r="AF472" t="s">
        <v>69</v>
      </c>
      <c r="AG472" s="11">
        <f t="shared" si="41"/>
        <v>0</v>
      </c>
      <c r="AH472" t="s">
        <v>122</v>
      </c>
    </row>
    <row r="473" spans="7:34" x14ac:dyDescent="0.2">
      <c r="G473" t="s">
        <v>103</v>
      </c>
      <c r="H473" t="s">
        <v>4</v>
      </c>
      <c r="I473">
        <f>SUMIFS('CompilationCalcs - EPA EOL'!$G$4:$G$264,'CompilationCalcs - EPA EOL'!$F$4:$F$264,dataforsankey!$H473,'CompilationCalcs - EPA EOL'!$A$4:$A$264,dataforsankey!$J473,'CompilationCalcs - EPA EOL'!$B$4:$B$264,dataforsankey!$G473)</f>
        <v>0</v>
      </c>
      <c r="J473" t="s">
        <v>0</v>
      </c>
      <c r="M473" t="str">
        <f>'CompilationCalcs - Di et al.EOL'!A239</f>
        <v>PS</v>
      </c>
      <c r="N473" t="str">
        <f>'CompilationCalcs - Di et al.EOL'!C239</f>
        <v>Exports</v>
      </c>
      <c r="O473" s="11">
        <f>SUMIFS('CompilationCalcs - Di et al.EOL'!$D$4:$D$544,'CompilationCalcs - Di et al.EOL'!$A$4:$A$544,dataforsankey!$M473,'CompilationCalcs - Di et al.EOL'!$C$4:$C$544,$N473)</f>
        <v>0.20617443319212375</v>
      </c>
      <c r="P473" t="str">
        <f t="shared" si="42"/>
        <v>PS</v>
      </c>
      <c r="S473" t="s">
        <v>335</v>
      </c>
      <c r="T473" t="s">
        <v>191</v>
      </c>
      <c r="U473" s="11">
        <f t="shared" si="43"/>
        <v>0</v>
      </c>
      <c r="V473" t="s">
        <v>32</v>
      </c>
      <c r="Y473" t="s">
        <v>891</v>
      </c>
      <c r="Z473" t="s">
        <v>100</v>
      </c>
      <c r="AA473" s="11">
        <f t="shared" si="40"/>
        <v>0</v>
      </c>
      <c r="AB473" t="s">
        <v>122</v>
      </c>
      <c r="AE473" t="s">
        <v>891</v>
      </c>
      <c r="AF473" t="s">
        <v>100</v>
      </c>
      <c r="AG473" s="11">
        <f t="shared" si="41"/>
        <v>0</v>
      </c>
      <c r="AH473" t="s">
        <v>122</v>
      </c>
    </row>
    <row r="474" spans="7:34" x14ac:dyDescent="0.2">
      <c r="G474" t="s">
        <v>103</v>
      </c>
      <c r="H474" t="s">
        <v>4</v>
      </c>
      <c r="I474">
        <f>SUMIFS('CompilationCalcs - EPA EOL'!$G$4:$G$264,'CompilationCalcs - EPA EOL'!$F$4:$F$264,dataforsankey!$H474,'CompilationCalcs - EPA EOL'!$A$4:$A$264,dataforsankey!$J474,'CompilationCalcs - EPA EOL'!$B$4:$B$264,dataforsankey!$G474)</f>
        <v>0</v>
      </c>
      <c r="J474" t="s">
        <v>2</v>
      </c>
      <c r="M474" t="str">
        <f>'CompilationCalcs - Di et al.EOL'!A264</f>
        <v>EPS</v>
      </c>
      <c r="N474" t="str">
        <f>'CompilationCalcs - Di et al.EOL'!C264</f>
        <v>Building and Construction</v>
      </c>
      <c r="O474" s="11">
        <f>SUMIFS('CompilationCalcs - Di et al.EOL'!$D$4:$D$544,'CompilationCalcs - Di et al.EOL'!$A$4:$A$544,dataforsankey!$M474,'CompilationCalcs - Di et al.EOL'!$C$4:$C$544,$N474)</f>
        <v>0.20617443319212375</v>
      </c>
      <c r="P474" t="str">
        <f t="shared" si="42"/>
        <v>EPS</v>
      </c>
      <c r="S474" t="s">
        <v>335</v>
      </c>
      <c r="T474" t="s">
        <v>333</v>
      </c>
      <c r="U474" s="11">
        <f t="shared" si="43"/>
        <v>0</v>
      </c>
      <c r="V474" t="s">
        <v>32</v>
      </c>
      <c r="Y474" t="s">
        <v>891</v>
      </c>
      <c r="Z474" t="s">
        <v>39</v>
      </c>
      <c r="AA474" s="11">
        <f t="shared" si="40"/>
        <v>0</v>
      </c>
      <c r="AB474" t="s">
        <v>122</v>
      </c>
      <c r="AE474" t="s">
        <v>891</v>
      </c>
      <c r="AF474" t="s">
        <v>39</v>
      </c>
      <c r="AG474" s="11">
        <f t="shared" si="41"/>
        <v>0</v>
      </c>
      <c r="AH474" t="s">
        <v>122</v>
      </c>
    </row>
    <row r="475" spans="7:34" x14ac:dyDescent="0.2">
      <c r="G475" t="s">
        <v>103</v>
      </c>
      <c r="H475" t="s">
        <v>4</v>
      </c>
      <c r="I475">
        <f>SUMIFS('CompilationCalcs - EPA EOL'!$G$4:$G$264,'CompilationCalcs - EPA EOL'!$F$4:$F$264,dataforsankey!$H475,'CompilationCalcs - EPA EOL'!$A$4:$A$264,dataforsankey!$J475,'CompilationCalcs - EPA EOL'!$B$4:$B$264,dataforsankey!$G475)</f>
        <v>0</v>
      </c>
      <c r="J475" t="s">
        <v>1</v>
      </c>
      <c r="M475" t="str">
        <f>'CompilationCalcs - Di et al.EOL'!A265</f>
        <v>EPS</v>
      </c>
      <c r="N475" t="str">
        <f>'CompilationCalcs - Di et al.EOL'!C265</f>
        <v>Furniture and Furnishings</v>
      </c>
      <c r="O475" s="11">
        <f>SUMIFS('CompilationCalcs - Di et al.EOL'!$D$4:$D$544,'CompilationCalcs - Di et al.EOL'!$A$4:$A$544,dataforsankey!$M475,'CompilationCalcs - Di et al.EOL'!$C$4:$C$544,$N475)</f>
        <v>0.20617443319212375</v>
      </c>
      <c r="P475" t="str">
        <f t="shared" si="42"/>
        <v>EPS</v>
      </c>
      <c r="S475" t="s">
        <v>335</v>
      </c>
      <c r="T475" t="s">
        <v>6</v>
      </c>
      <c r="U475" s="11">
        <f t="shared" si="43"/>
        <v>0.57022229485026599</v>
      </c>
      <c r="V475" t="s">
        <v>32</v>
      </c>
      <c r="Y475" t="s">
        <v>891</v>
      </c>
      <c r="Z475" t="s">
        <v>68</v>
      </c>
      <c r="AA475" s="11">
        <f t="shared" si="40"/>
        <v>0</v>
      </c>
      <c r="AB475" t="s">
        <v>122</v>
      </c>
      <c r="AE475" t="s">
        <v>891</v>
      </c>
      <c r="AF475" t="s">
        <v>68</v>
      </c>
      <c r="AG475" s="11">
        <f t="shared" si="41"/>
        <v>0</v>
      </c>
      <c r="AH475" t="s">
        <v>122</v>
      </c>
    </row>
    <row r="476" spans="7:34" x14ac:dyDescent="0.2">
      <c r="G476" t="s">
        <v>103</v>
      </c>
      <c r="H476" t="s">
        <v>4</v>
      </c>
      <c r="I476">
        <f>SUMIFS('CompilationCalcs - EPA EOL'!$G$4:$G$264,'CompilationCalcs - EPA EOL'!$F$4:$F$264,dataforsankey!$H476,'CompilationCalcs - EPA EOL'!$A$4:$A$264,dataforsankey!$J476,'CompilationCalcs - EPA EOL'!$B$4:$B$264,dataforsankey!$G476)</f>
        <v>0</v>
      </c>
      <c r="J476" t="s">
        <v>7</v>
      </c>
      <c r="M476" t="str">
        <f>'CompilationCalcs - Di et al.EOL'!A266</f>
        <v>EPS</v>
      </c>
      <c r="N476" t="str">
        <f>'CompilationCalcs - Di et al.EOL'!C266</f>
        <v>Transportation</v>
      </c>
      <c r="O476" s="11">
        <f>SUMIFS('CompilationCalcs - Di et al.EOL'!$D$4:$D$544,'CompilationCalcs - Di et al.EOL'!$A$4:$A$544,dataforsankey!$M476,'CompilationCalcs - Di et al.EOL'!$C$4:$C$544,$N476)</f>
        <v>0.20617443319212375</v>
      </c>
      <c r="P476" t="str">
        <f t="shared" si="42"/>
        <v>EPS</v>
      </c>
      <c r="S476" t="s">
        <v>335</v>
      </c>
      <c r="T476" t="s">
        <v>5</v>
      </c>
      <c r="U476" s="11">
        <f t="shared" si="43"/>
        <v>5.8426865916197071E-2</v>
      </c>
      <c r="V476" t="s">
        <v>32</v>
      </c>
      <c r="Y476" t="s">
        <v>891</v>
      </c>
      <c r="Z476" t="s">
        <v>63</v>
      </c>
      <c r="AA476" s="11">
        <f t="shared" si="40"/>
        <v>0</v>
      </c>
      <c r="AB476" t="s">
        <v>122</v>
      </c>
      <c r="AE476" t="s">
        <v>891</v>
      </c>
      <c r="AF476" t="s">
        <v>63</v>
      </c>
      <c r="AG476" s="11">
        <f t="shared" si="41"/>
        <v>0</v>
      </c>
      <c r="AH476" t="s">
        <v>122</v>
      </c>
    </row>
    <row r="477" spans="7:34" x14ac:dyDescent="0.2">
      <c r="G477" t="s">
        <v>103</v>
      </c>
      <c r="H477" t="s">
        <v>4</v>
      </c>
      <c r="I477">
        <f>SUMIFS('CompilationCalcs - EPA EOL'!$G$4:$G$264,'CompilationCalcs - EPA EOL'!$F$4:$F$264,dataforsankey!$H477,'CompilationCalcs - EPA EOL'!$A$4:$A$264,dataforsankey!$J477,'CompilationCalcs - EPA EOL'!$B$4:$B$264,dataforsankey!$G477)</f>
        <v>0</v>
      </c>
      <c r="J477" t="s">
        <v>8</v>
      </c>
      <c r="M477" t="str">
        <f>'CompilationCalcs - Di et al.EOL'!A267</f>
        <v>EPS</v>
      </c>
      <c r="N477" t="str">
        <f>'CompilationCalcs - Di et al.EOL'!C267</f>
        <v>Industrial/Machinery</v>
      </c>
      <c r="O477" s="11">
        <f>SUMIFS('CompilationCalcs - Di et al.EOL'!$D$4:$D$544,'CompilationCalcs - Di et al.EOL'!$A$4:$A$544,dataforsankey!$M477,'CompilationCalcs - Di et al.EOL'!$C$4:$C$544,$N477)</f>
        <v>0.20617443319212375</v>
      </c>
      <c r="P477" t="str">
        <f t="shared" si="42"/>
        <v>EPS</v>
      </c>
      <c r="S477" t="s">
        <v>335</v>
      </c>
      <c r="T477" t="s">
        <v>358</v>
      </c>
      <c r="U477" s="11">
        <f t="shared" si="43"/>
        <v>0</v>
      </c>
      <c r="V477" t="s">
        <v>32</v>
      </c>
      <c r="Y477" t="s">
        <v>891</v>
      </c>
      <c r="Z477" t="s">
        <v>92</v>
      </c>
      <c r="AA477" s="11">
        <f t="shared" si="40"/>
        <v>0</v>
      </c>
      <c r="AB477" t="s">
        <v>122</v>
      </c>
      <c r="AE477" t="s">
        <v>891</v>
      </c>
      <c r="AF477" t="s">
        <v>92</v>
      </c>
      <c r="AG477" s="11">
        <f t="shared" si="41"/>
        <v>0</v>
      </c>
      <c r="AH477" t="s">
        <v>122</v>
      </c>
    </row>
    <row r="478" spans="7:34" x14ac:dyDescent="0.2">
      <c r="G478" t="s">
        <v>103</v>
      </c>
      <c r="H478" t="s">
        <v>4</v>
      </c>
      <c r="I478">
        <f>SUMIFS('CompilationCalcs - EPA EOL'!$G$4:$G$264,'CompilationCalcs - EPA EOL'!$F$4:$F$264,dataforsankey!$H478,'CompilationCalcs - EPA EOL'!$A$4:$A$264,dataforsankey!$J478,'CompilationCalcs - EPA EOL'!$B$4:$B$264,dataforsankey!$G478)</f>
        <v>0</v>
      </c>
      <c r="J478" t="s">
        <v>9</v>
      </c>
      <c r="M478" t="str">
        <f>'CompilationCalcs - Di et al.EOL'!A268</f>
        <v>EPS</v>
      </c>
      <c r="N478" t="str">
        <f>'CompilationCalcs - Di et al.EOL'!C268</f>
        <v>Packaging</v>
      </c>
      <c r="O478" s="11">
        <f>SUMIFS('CompilationCalcs - Di et al.EOL'!$D$4:$D$544,'CompilationCalcs - Di et al.EOL'!$A$4:$A$544,dataforsankey!$M478,'CompilationCalcs - Di et al.EOL'!$C$4:$C$544,$N478)</f>
        <v>0.20617443319212375</v>
      </c>
      <c r="P478" t="str">
        <f t="shared" si="42"/>
        <v>EPS</v>
      </c>
      <c r="S478" t="s">
        <v>330</v>
      </c>
      <c r="T478" t="s">
        <v>191</v>
      </c>
      <c r="U478" s="11">
        <f t="shared" si="43"/>
        <v>0</v>
      </c>
      <c r="V478" t="s">
        <v>105</v>
      </c>
      <c r="Y478" t="s">
        <v>891</v>
      </c>
      <c r="Z478" t="s">
        <v>103</v>
      </c>
      <c r="AA478" s="11">
        <f t="shared" si="40"/>
        <v>0</v>
      </c>
      <c r="AB478" t="s">
        <v>122</v>
      </c>
      <c r="AE478" t="s">
        <v>891</v>
      </c>
      <c r="AF478" t="s">
        <v>103</v>
      </c>
      <c r="AG478" s="11">
        <f t="shared" si="41"/>
        <v>0</v>
      </c>
      <c r="AH478" t="s">
        <v>122</v>
      </c>
    </row>
    <row r="479" spans="7:34" x14ac:dyDescent="0.2">
      <c r="G479" t="s">
        <v>103</v>
      </c>
      <c r="H479" t="s">
        <v>4</v>
      </c>
      <c r="I479">
        <f>SUMIFS('CompilationCalcs - EPA EOL'!$G$4:$G$264,'CompilationCalcs - EPA EOL'!$F$4:$F$264,dataforsankey!$H479,'CompilationCalcs - EPA EOL'!$A$4:$A$264,dataforsankey!$J479,'CompilationCalcs - EPA EOL'!$B$4:$B$264,dataforsankey!$G479)</f>
        <v>0</v>
      </c>
      <c r="J479" t="s">
        <v>10</v>
      </c>
      <c r="M479" t="str">
        <f>'CompilationCalcs - Di et al.EOL'!A269</f>
        <v>EPS</v>
      </c>
      <c r="N479" t="str">
        <f>'CompilationCalcs - Di et al.EOL'!C269</f>
        <v>Electrical/Electronic</v>
      </c>
      <c r="O479" s="11">
        <f>SUMIFS('CompilationCalcs - Di et al.EOL'!$D$4:$D$544,'CompilationCalcs - Di et al.EOL'!$A$4:$A$544,dataforsankey!$M479,'CompilationCalcs - Di et al.EOL'!$C$4:$C$544,$N479)</f>
        <v>0.20617443319212375</v>
      </c>
      <c r="P479" t="str">
        <f t="shared" si="42"/>
        <v>EPS</v>
      </c>
      <c r="S479" t="s">
        <v>330</v>
      </c>
      <c r="T479" t="s">
        <v>333</v>
      </c>
      <c r="U479" s="11">
        <f t="shared" si="43"/>
        <v>0</v>
      </c>
      <c r="V479" t="s">
        <v>105</v>
      </c>
      <c r="Y479" t="s">
        <v>891</v>
      </c>
      <c r="Z479" t="s">
        <v>86</v>
      </c>
      <c r="AA479" s="11">
        <f t="shared" si="40"/>
        <v>0</v>
      </c>
      <c r="AB479" t="s">
        <v>122</v>
      </c>
      <c r="AE479" t="s">
        <v>891</v>
      </c>
      <c r="AF479" t="s">
        <v>86</v>
      </c>
      <c r="AG479" s="11">
        <f t="shared" si="41"/>
        <v>0</v>
      </c>
      <c r="AH479" t="s">
        <v>122</v>
      </c>
    </row>
    <row r="480" spans="7:34" x14ac:dyDescent="0.2">
      <c r="G480" t="s">
        <v>103</v>
      </c>
      <c r="H480" t="s">
        <v>4</v>
      </c>
      <c r="I480">
        <f>SUMIFS('CompilationCalcs - EPA EOL'!$G$4:$G$264,'CompilationCalcs - EPA EOL'!$F$4:$F$264,dataforsankey!$H480,'CompilationCalcs - EPA EOL'!$A$4:$A$264,dataforsankey!$J480,'CompilationCalcs - EPA EOL'!$B$4:$B$264,dataforsankey!$G480)</f>
        <v>0</v>
      </c>
      <c r="J480" t="s">
        <v>11</v>
      </c>
      <c r="M480" t="str">
        <f>'CompilationCalcs - Di et al.EOL'!A270</f>
        <v>EPS</v>
      </c>
      <c r="N480" t="str">
        <f>'CompilationCalcs - Di et al.EOL'!C270</f>
        <v>Consumer and Institutional</v>
      </c>
      <c r="O480" s="11">
        <f>SUMIFS('CompilationCalcs - Di et al.EOL'!$D$4:$D$544,'CompilationCalcs - Di et al.EOL'!$A$4:$A$544,dataforsankey!$M480,'CompilationCalcs - Di et al.EOL'!$C$4:$C$544,$N480)</f>
        <v>0.20617443319212375</v>
      </c>
      <c r="P480" t="str">
        <f t="shared" si="42"/>
        <v>EPS</v>
      </c>
      <c r="S480" t="s">
        <v>330</v>
      </c>
      <c r="T480" t="s">
        <v>6</v>
      </c>
      <c r="U480" s="11">
        <f t="shared" si="43"/>
        <v>5.922439807240313E-2</v>
      </c>
      <c r="V480" t="s">
        <v>105</v>
      </c>
      <c r="Y480" t="s">
        <v>891</v>
      </c>
      <c r="Z480" t="s">
        <v>18</v>
      </c>
      <c r="AA480" s="11">
        <f t="shared" si="40"/>
        <v>0</v>
      </c>
      <c r="AB480" t="s">
        <v>122</v>
      </c>
      <c r="AE480" t="s">
        <v>891</v>
      </c>
      <c r="AF480" t="s">
        <v>18</v>
      </c>
      <c r="AG480" s="11">
        <f t="shared" si="41"/>
        <v>0</v>
      </c>
      <c r="AH480" t="s">
        <v>122</v>
      </c>
    </row>
    <row r="481" spans="7:34" x14ac:dyDescent="0.2">
      <c r="G481" t="s">
        <v>103</v>
      </c>
      <c r="H481" t="s">
        <v>4</v>
      </c>
      <c r="I481">
        <f>SUMIFS('CompilationCalcs - EPA EOL'!$G$4:$G$264,'CompilationCalcs - EPA EOL'!$F$4:$F$264,dataforsankey!$H481,'CompilationCalcs - EPA EOL'!$A$4:$A$264,dataforsankey!$J481,'CompilationCalcs - EPA EOL'!$B$4:$B$264,dataforsankey!$G481)</f>
        <v>0</v>
      </c>
      <c r="J481" t="s">
        <v>127</v>
      </c>
      <c r="M481" t="str">
        <f>'CompilationCalcs - Di et al.EOL'!A271</f>
        <v>EPS</v>
      </c>
      <c r="N481" t="str">
        <f>'CompilationCalcs - Di et al.EOL'!C271</f>
        <v>Adhesives/Inks/Coatings</v>
      </c>
      <c r="O481" s="11">
        <f>SUMIFS('CompilationCalcs - Di et al.EOL'!$D$4:$D$544,'CompilationCalcs - Di et al.EOL'!$A$4:$A$544,dataforsankey!$M481,'CompilationCalcs - Di et al.EOL'!$C$4:$C$544,$N481)</f>
        <v>0.20617443319212375</v>
      </c>
      <c r="P481" t="str">
        <f t="shared" si="42"/>
        <v>EPS</v>
      </c>
      <c r="S481" t="s">
        <v>330</v>
      </c>
      <c r="T481" t="s">
        <v>5</v>
      </c>
      <c r="U481" s="11">
        <f t="shared" si="43"/>
        <v>5.9683154851572703E-2</v>
      </c>
      <c r="V481" t="s">
        <v>105</v>
      </c>
      <c r="Y481" t="s">
        <v>891</v>
      </c>
      <c r="Z481" t="s">
        <v>38</v>
      </c>
      <c r="AA481" s="11">
        <f t="shared" si="40"/>
        <v>0</v>
      </c>
      <c r="AB481" t="s">
        <v>32</v>
      </c>
      <c r="AE481" t="s">
        <v>891</v>
      </c>
      <c r="AF481" t="s">
        <v>38</v>
      </c>
      <c r="AG481" s="11">
        <f t="shared" si="41"/>
        <v>0</v>
      </c>
      <c r="AH481" t="s">
        <v>32</v>
      </c>
    </row>
    <row r="482" spans="7:34" x14ac:dyDescent="0.2">
      <c r="G482" t="s">
        <v>103</v>
      </c>
      <c r="H482" t="s">
        <v>4</v>
      </c>
      <c r="I482">
        <f>SUMIFS('CompilationCalcs - EPA EOL'!$G$4:$G$264,'CompilationCalcs - EPA EOL'!$F$4:$F$264,dataforsankey!$H482,'CompilationCalcs - EPA EOL'!$A$4:$A$264,dataforsankey!$J482,'CompilationCalcs - EPA EOL'!$B$4:$B$264,dataforsankey!$G482)</f>
        <v>0</v>
      </c>
      <c r="J482" t="s">
        <v>122</v>
      </c>
      <c r="M482" t="str">
        <f>'CompilationCalcs - Di et al.EOL'!A272</f>
        <v>EPS</v>
      </c>
      <c r="N482" t="str">
        <f>'CompilationCalcs - Di et al.EOL'!C272</f>
        <v>Textiles, Fibers and Apparel</v>
      </c>
      <c r="O482" s="11">
        <f>SUMIFS('CompilationCalcs - Di et al.EOL'!$D$4:$D$544,'CompilationCalcs - Di et al.EOL'!$A$4:$A$544,dataforsankey!$M482,'CompilationCalcs - Di et al.EOL'!$C$4:$C$544,$N482)</f>
        <v>0</v>
      </c>
      <c r="P482" t="str">
        <f t="shared" si="42"/>
        <v>EPS</v>
      </c>
      <c r="S482" t="s">
        <v>330</v>
      </c>
      <c r="T482" t="s">
        <v>358</v>
      </c>
      <c r="U482" s="11">
        <f t="shared" si="43"/>
        <v>5.3298445262799803E-2</v>
      </c>
      <c r="V482" t="s">
        <v>105</v>
      </c>
      <c r="Y482" t="s">
        <v>891</v>
      </c>
      <c r="Z482" t="s">
        <v>99</v>
      </c>
      <c r="AA482" s="11">
        <f t="shared" si="40"/>
        <v>0</v>
      </c>
      <c r="AB482" t="s">
        <v>32</v>
      </c>
      <c r="AE482" t="s">
        <v>891</v>
      </c>
      <c r="AF482" t="s">
        <v>99</v>
      </c>
      <c r="AG482" s="11">
        <f t="shared" si="41"/>
        <v>0</v>
      </c>
      <c r="AH482" t="s">
        <v>32</v>
      </c>
    </row>
    <row r="483" spans="7:34" x14ac:dyDescent="0.2">
      <c r="G483" t="s">
        <v>103</v>
      </c>
      <c r="H483" t="s">
        <v>4</v>
      </c>
      <c r="I483">
        <f>SUMIFS('CompilationCalcs - EPA EOL'!$G$4:$G$264,'CompilationCalcs - EPA EOL'!$F$4:$F$264,dataforsankey!$H483,'CompilationCalcs - EPA EOL'!$A$4:$A$264,dataforsankey!$J483,'CompilationCalcs - EPA EOL'!$B$4:$B$264,dataforsankey!$G483)</f>
        <v>9.1733869301549878E-2</v>
      </c>
      <c r="J483" t="s">
        <v>82</v>
      </c>
      <c r="M483" t="str">
        <f>'CompilationCalcs - Di et al.EOL'!A273</f>
        <v>EPS</v>
      </c>
      <c r="N483" t="str">
        <f>'CompilationCalcs - Di et al.EOL'!C273</f>
        <v>Other End Use Markets</v>
      </c>
      <c r="O483" s="11">
        <f>SUMIFS('CompilationCalcs - Di et al.EOL'!$D$4:$D$544,'CompilationCalcs - Di et al.EOL'!$A$4:$A$544,dataforsankey!$M483,'CompilationCalcs - Di et al.EOL'!$C$4:$C$544,$N483)</f>
        <v>0.20617443319212375</v>
      </c>
      <c r="P483" t="str">
        <f t="shared" si="42"/>
        <v>EPS</v>
      </c>
      <c r="S483" t="s">
        <v>335</v>
      </c>
      <c r="T483" t="s">
        <v>191</v>
      </c>
      <c r="U483" s="11">
        <f t="shared" si="43"/>
        <v>0</v>
      </c>
      <c r="V483" t="s">
        <v>105</v>
      </c>
      <c r="Y483" t="s">
        <v>891</v>
      </c>
      <c r="Z483" t="s">
        <v>69</v>
      </c>
      <c r="AA483" s="11">
        <f t="shared" si="40"/>
        <v>0.19752071849966238</v>
      </c>
      <c r="AB483" t="s">
        <v>32</v>
      </c>
      <c r="AE483" t="s">
        <v>891</v>
      </c>
      <c r="AF483" t="s">
        <v>69</v>
      </c>
      <c r="AG483" s="11">
        <f t="shared" si="41"/>
        <v>0.19752071849966238</v>
      </c>
      <c r="AH483" t="s">
        <v>32</v>
      </c>
    </row>
    <row r="484" spans="7:34" x14ac:dyDescent="0.2">
      <c r="G484" t="s">
        <v>103</v>
      </c>
      <c r="H484" t="s">
        <v>5</v>
      </c>
      <c r="I484">
        <f>SUMIFS('CompilationCalcs - EPA EOL'!$G$4:$G$264,'CompilationCalcs - EPA EOL'!$F$4:$F$264,dataforsankey!$H484,'CompilationCalcs - EPA EOL'!$A$4:$A$264,dataforsankey!$J484,'CompilationCalcs - EPA EOL'!$B$4:$B$264,dataforsankey!$G484)</f>
        <v>0</v>
      </c>
      <c r="J484" t="s">
        <v>0</v>
      </c>
      <c r="M484" t="str">
        <f>'CompilationCalcs - Di et al.EOL'!A274</f>
        <v>EPS</v>
      </c>
      <c r="N484" t="str">
        <f>'CompilationCalcs - Di et al.EOL'!C274</f>
        <v>Exports</v>
      </c>
      <c r="O484" s="11">
        <f>SUMIFS('CompilationCalcs - Di et al.EOL'!$D$4:$D$544,'CompilationCalcs - Di et al.EOL'!$A$4:$A$544,dataforsankey!$M484,'CompilationCalcs - Di et al.EOL'!$C$4:$C$544,$N484)</f>
        <v>0.20617443319212375</v>
      </c>
      <c r="P484" t="str">
        <f t="shared" si="42"/>
        <v>EPS</v>
      </c>
      <c r="S484" t="s">
        <v>335</v>
      </c>
      <c r="T484" t="s">
        <v>333</v>
      </c>
      <c r="U484" s="11">
        <f t="shared" si="43"/>
        <v>0</v>
      </c>
      <c r="V484" t="s">
        <v>105</v>
      </c>
      <c r="Y484" t="s">
        <v>891</v>
      </c>
      <c r="Z484" t="s">
        <v>100</v>
      </c>
      <c r="AA484" s="11">
        <f t="shared" si="40"/>
        <v>0</v>
      </c>
      <c r="AB484" t="s">
        <v>32</v>
      </c>
      <c r="AE484" t="s">
        <v>891</v>
      </c>
      <c r="AF484" t="s">
        <v>100</v>
      </c>
      <c r="AG484" s="11">
        <f t="shared" si="41"/>
        <v>0</v>
      </c>
      <c r="AH484" t="s">
        <v>32</v>
      </c>
    </row>
    <row r="485" spans="7:34" x14ac:dyDescent="0.2">
      <c r="G485" t="s">
        <v>103</v>
      </c>
      <c r="H485" t="s">
        <v>5</v>
      </c>
      <c r="I485">
        <f>SUMIFS('CompilationCalcs - EPA EOL'!$G$4:$G$264,'CompilationCalcs - EPA EOL'!$F$4:$F$264,dataforsankey!$H485,'CompilationCalcs - EPA EOL'!$A$4:$A$264,dataforsankey!$J485,'CompilationCalcs - EPA EOL'!$B$4:$B$264,dataforsankey!$G485)</f>
        <v>0</v>
      </c>
      <c r="J485" t="s">
        <v>2</v>
      </c>
      <c r="M485" t="str">
        <f>'CompilationCalcs - Di et al.EOL'!A299</f>
        <v>PVC</v>
      </c>
      <c r="N485" t="str">
        <f>'CompilationCalcs - Di et al.EOL'!C299</f>
        <v>Building and Construction</v>
      </c>
      <c r="O485" s="11">
        <f>SUMIFS('CompilationCalcs - Di et al.EOL'!$D$4:$D$544,'CompilationCalcs - Di et al.EOL'!$A$4:$A$544,dataforsankey!$M485,'CompilationCalcs - Di et al.EOL'!$C$4:$C$544,$N485)</f>
        <v>0.20617443319212375</v>
      </c>
      <c r="P485" t="str">
        <f t="shared" ref="P485:P506" si="44">M485</f>
        <v>PVC</v>
      </c>
      <c r="S485" t="s">
        <v>335</v>
      </c>
      <c r="T485" t="s">
        <v>6</v>
      </c>
      <c r="U485" s="11">
        <f t="shared" si="43"/>
        <v>0.24605600436266464</v>
      </c>
      <c r="V485" t="s">
        <v>105</v>
      </c>
      <c r="Y485" t="s">
        <v>891</v>
      </c>
      <c r="Z485" t="s">
        <v>39</v>
      </c>
      <c r="AA485" s="11">
        <f t="shared" si="40"/>
        <v>3.8579716413371316E-2</v>
      </c>
      <c r="AB485" t="s">
        <v>32</v>
      </c>
      <c r="AE485" t="s">
        <v>891</v>
      </c>
      <c r="AF485" t="s">
        <v>39</v>
      </c>
      <c r="AG485" s="11">
        <f t="shared" si="41"/>
        <v>3.8579716413371316E-2</v>
      </c>
      <c r="AH485" t="s">
        <v>32</v>
      </c>
    </row>
    <row r="486" spans="7:34" x14ac:dyDescent="0.2">
      <c r="G486" t="s">
        <v>103</v>
      </c>
      <c r="H486" t="s">
        <v>5</v>
      </c>
      <c r="I486">
        <f>SUMIFS('CompilationCalcs - EPA EOL'!$G$4:$G$264,'CompilationCalcs - EPA EOL'!$F$4:$F$264,dataforsankey!$H486,'CompilationCalcs - EPA EOL'!$A$4:$A$264,dataforsankey!$J486,'CompilationCalcs - EPA EOL'!$B$4:$B$264,dataforsankey!$G486)</f>
        <v>0</v>
      </c>
      <c r="J486" t="s">
        <v>1</v>
      </c>
      <c r="M486" t="str">
        <f>'CompilationCalcs - Di et al.EOL'!A300</f>
        <v>PVC</v>
      </c>
      <c r="N486" t="str">
        <f>'CompilationCalcs - Di et al.EOL'!C300</f>
        <v>Furniture and Furnishings</v>
      </c>
      <c r="O486" s="11">
        <f>SUMIFS('CompilationCalcs - Di et al.EOL'!$D$4:$D$544,'CompilationCalcs - Di et al.EOL'!$A$4:$A$544,dataforsankey!$M486,'CompilationCalcs - Di et al.EOL'!$C$4:$C$544,$N486)</f>
        <v>0.20617443319212375</v>
      </c>
      <c r="P486" t="str">
        <f t="shared" si="44"/>
        <v>PVC</v>
      </c>
      <c r="S486" t="s">
        <v>335</v>
      </c>
      <c r="T486" t="s">
        <v>5</v>
      </c>
      <c r="U486" s="11">
        <f t="shared" si="43"/>
        <v>0.2479619732493176</v>
      </c>
      <c r="V486" t="s">
        <v>105</v>
      </c>
      <c r="Y486" t="s">
        <v>891</v>
      </c>
      <c r="Z486" t="s">
        <v>68</v>
      </c>
      <c r="AA486" s="11">
        <f t="shared" si="40"/>
        <v>0.31529390835303689</v>
      </c>
      <c r="AB486" t="s">
        <v>32</v>
      </c>
      <c r="AE486" t="s">
        <v>891</v>
      </c>
      <c r="AF486" t="s">
        <v>68</v>
      </c>
      <c r="AG486" s="11">
        <f t="shared" si="41"/>
        <v>0.31529390835303689</v>
      </c>
      <c r="AH486" t="s">
        <v>32</v>
      </c>
    </row>
    <row r="487" spans="7:34" x14ac:dyDescent="0.2">
      <c r="G487" t="s">
        <v>103</v>
      </c>
      <c r="H487" t="s">
        <v>5</v>
      </c>
      <c r="I487">
        <f>SUMIFS('CompilationCalcs - EPA EOL'!$G$4:$G$264,'CompilationCalcs - EPA EOL'!$F$4:$F$264,dataforsankey!$H487,'CompilationCalcs - EPA EOL'!$A$4:$A$264,dataforsankey!$J487,'CompilationCalcs - EPA EOL'!$B$4:$B$264,dataforsankey!$G487)</f>
        <v>0</v>
      </c>
      <c r="J487" t="s">
        <v>7</v>
      </c>
      <c r="M487" t="str">
        <f>'CompilationCalcs - Di et al.EOL'!A301</f>
        <v>PVC</v>
      </c>
      <c r="N487" t="str">
        <f>'CompilationCalcs - Di et al.EOL'!C301</f>
        <v>Transportation</v>
      </c>
      <c r="O487" s="11">
        <f>SUMIFS('CompilationCalcs - Di et al.EOL'!$D$4:$D$544,'CompilationCalcs - Di et al.EOL'!$A$4:$A$544,dataforsankey!$M487,'CompilationCalcs - Di et al.EOL'!$C$4:$C$544,$N487)</f>
        <v>0.20617443319212375</v>
      </c>
      <c r="P487" t="str">
        <f t="shared" si="44"/>
        <v>PVC</v>
      </c>
      <c r="S487" t="s">
        <v>335</v>
      </c>
      <c r="T487" t="s">
        <v>358</v>
      </c>
      <c r="U487" s="11">
        <f t="shared" si="43"/>
        <v>0.22143580866915802</v>
      </c>
      <c r="V487" t="s">
        <v>105</v>
      </c>
      <c r="Y487" t="s">
        <v>891</v>
      </c>
      <c r="Z487" t="s">
        <v>63</v>
      </c>
      <c r="AA487" s="11">
        <f t="shared" si="40"/>
        <v>2.3660324087977396E-2</v>
      </c>
      <c r="AB487" t="s">
        <v>32</v>
      </c>
      <c r="AE487" t="s">
        <v>891</v>
      </c>
      <c r="AF487" t="s">
        <v>63</v>
      </c>
      <c r="AG487" s="11">
        <f t="shared" si="41"/>
        <v>2.3660324087977396E-2</v>
      </c>
      <c r="AH487" t="s">
        <v>32</v>
      </c>
    </row>
    <row r="488" spans="7:34" x14ac:dyDescent="0.2">
      <c r="G488" t="s">
        <v>103</v>
      </c>
      <c r="H488" t="s">
        <v>5</v>
      </c>
      <c r="I488">
        <f>SUMIFS('CompilationCalcs - EPA EOL'!$G$4:$G$264,'CompilationCalcs - EPA EOL'!$F$4:$F$264,dataforsankey!$H488,'CompilationCalcs - EPA EOL'!$A$4:$A$264,dataforsankey!$J488,'CompilationCalcs - EPA EOL'!$B$4:$B$264,dataforsankey!$G488)</f>
        <v>0</v>
      </c>
      <c r="J488" t="s">
        <v>8</v>
      </c>
      <c r="M488" t="str">
        <f>'CompilationCalcs - Di et al.EOL'!A302</f>
        <v>PVC</v>
      </c>
      <c r="N488" t="str">
        <f>'CompilationCalcs - Di et al.EOL'!C302</f>
        <v>Industrial/Machinery</v>
      </c>
      <c r="O488" s="11">
        <f>SUMIFS('CompilationCalcs - Di et al.EOL'!$D$4:$D$544,'CompilationCalcs - Di et al.EOL'!$A$4:$A$544,dataforsankey!$M488,'CompilationCalcs - Di et al.EOL'!$C$4:$C$544,$N488)</f>
        <v>0.20617443319212375</v>
      </c>
      <c r="P488" t="str">
        <f t="shared" si="44"/>
        <v>PVC</v>
      </c>
      <c r="S488" t="s">
        <v>191</v>
      </c>
      <c r="T488" t="s">
        <v>360</v>
      </c>
      <c r="U488" s="11">
        <f t="shared" si="43"/>
        <v>1.4605624041391865</v>
      </c>
      <c r="V488" t="s">
        <v>82</v>
      </c>
      <c r="Y488" t="s">
        <v>891</v>
      </c>
      <c r="Z488" t="s">
        <v>92</v>
      </c>
      <c r="AA488" s="11">
        <f t="shared" si="40"/>
        <v>0</v>
      </c>
      <c r="AB488" t="s">
        <v>32</v>
      </c>
      <c r="AE488" t="s">
        <v>891</v>
      </c>
      <c r="AF488" t="s">
        <v>92</v>
      </c>
      <c r="AG488" s="11">
        <f t="shared" si="41"/>
        <v>0</v>
      </c>
      <c r="AH488" t="s">
        <v>32</v>
      </c>
    </row>
    <row r="489" spans="7:34" x14ac:dyDescent="0.2">
      <c r="G489" t="s">
        <v>103</v>
      </c>
      <c r="H489" t="s">
        <v>5</v>
      </c>
      <c r="I489">
        <f>SUMIFS('CompilationCalcs - EPA EOL'!$G$4:$G$264,'CompilationCalcs - EPA EOL'!$F$4:$F$264,dataforsankey!$H489,'CompilationCalcs - EPA EOL'!$A$4:$A$264,dataforsankey!$J489,'CompilationCalcs - EPA EOL'!$B$4:$B$264,dataforsankey!$G489)</f>
        <v>0</v>
      </c>
      <c r="J489" t="s">
        <v>9</v>
      </c>
      <c r="M489" t="str">
        <f>'CompilationCalcs - Di et al.EOL'!A303</f>
        <v>PVC</v>
      </c>
      <c r="N489" t="str">
        <f>'CompilationCalcs - Di et al.EOL'!C303</f>
        <v>Packaging</v>
      </c>
      <c r="O489" s="11">
        <f>SUMIFS('CompilationCalcs - Di et al.EOL'!$D$4:$D$544,'CompilationCalcs - Di et al.EOL'!$A$4:$A$544,dataforsankey!$M489,'CompilationCalcs - Di et al.EOL'!$C$4:$C$544,$N489)</f>
        <v>0.20617443319212375</v>
      </c>
      <c r="P489" t="str">
        <f t="shared" si="44"/>
        <v>PVC</v>
      </c>
      <c r="S489" t="s">
        <v>191</v>
      </c>
      <c r="T489" t="s">
        <v>361</v>
      </c>
      <c r="U489" s="11">
        <f t="shared" si="43"/>
        <v>0.78325325221206077</v>
      </c>
      <c r="V489" t="s">
        <v>82</v>
      </c>
      <c r="Y489" t="s">
        <v>891</v>
      </c>
      <c r="Z489" t="s">
        <v>103</v>
      </c>
      <c r="AA489" s="11">
        <f t="shared" si="40"/>
        <v>0</v>
      </c>
      <c r="AB489" t="s">
        <v>32</v>
      </c>
      <c r="AE489" t="s">
        <v>891</v>
      </c>
      <c r="AF489" t="s">
        <v>103</v>
      </c>
      <c r="AG489" s="11">
        <f t="shared" si="41"/>
        <v>0</v>
      </c>
      <c r="AH489" t="s">
        <v>32</v>
      </c>
    </row>
    <row r="490" spans="7:34" x14ac:dyDescent="0.2">
      <c r="G490" t="s">
        <v>103</v>
      </c>
      <c r="H490" t="s">
        <v>5</v>
      </c>
      <c r="I490">
        <f>SUMIFS('CompilationCalcs - EPA EOL'!$G$4:$G$264,'CompilationCalcs - EPA EOL'!$F$4:$F$264,dataforsankey!$H490,'CompilationCalcs - EPA EOL'!$A$4:$A$264,dataforsankey!$J490,'CompilationCalcs - EPA EOL'!$B$4:$B$264,dataforsankey!$G490)</f>
        <v>0</v>
      </c>
      <c r="J490" t="s">
        <v>10</v>
      </c>
      <c r="M490" t="str">
        <f>'CompilationCalcs - Di et al.EOL'!A304</f>
        <v>PVC</v>
      </c>
      <c r="N490" t="str">
        <f>'CompilationCalcs - Di et al.EOL'!C304</f>
        <v>Electrical/Electronic</v>
      </c>
      <c r="O490" s="11">
        <f>SUMIFS('CompilationCalcs - Di et al.EOL'!$D$4:$D$544,'CompilationCalcs - Di et al.EOL'!$A$4:$A$544,dataforsankey!$M490,'CompilationCalcs - Di et al.EOL'!$C$4:$C$544,$N490)</f>
        <v>0.20617443319212375</v>
      </c>
      <c r="P490" t="str">
        <f t="shared" si="44"/>
        <v>PVC</v>
      </c>
      <c r="S490" t="s">
        <v>191</v>
      </c>
      <c r="T490" t="s">
        <v>360</v>
      </c>
      <c r="U490" s="11">
        <f t="shared" si="43"/>
        <v>0.13628684864371868</v>
      </c>
      <c r="V490" t="s">
        <v>127</v>
      </c>
      <c r="Y490" t="s">
        <v>891</v>
      </c>
      <c r="Z490" t="s">
        <v>86</v>
      </c>
      <c r="AA490" s="11">
        <f t="shared" si="40"/>
        <v>0</v>
      </c>
      <c r="AB490" t="s">
        <v>32</v>
      </c>
      <c r="AE490" t="s">
        <v>891</v>
      </c>
      <c r="AF490" t="s">
        <v>86</v>
      </c>
      <c r="AG490" s="11">
        <f t="shared" si="41"/>
        <v>0</v>
      </c>
      <c r="AH490" t="s">
        <v>32</v>
      </c>
    </row>
    <row r="491" spans="7:34" x14ac:dyDescent="0.2">
      <c r="G491" t="s">
        <v>103</v>
      </c>
      <c r="H491" t="s">
        <v>5</v>
      </c>
      <c r="I491">
        <f>SUMIFS('CompilationCalcs - EPA EOL'!$G$4:$G$264,'CompilationCalcs - EPA EOL'!$F$4:$F$264,dataforsankey!$H491,'CompilationCalcs - EPA EOL'!$A$4:$A$264,dataforsankey!$J491,'CompilationCalcs - EPA EOL'!$B$4:$B$264,dataforsankey!$G491)</f>
        <v>0</v>
      </c>
      <c r="J491" t="s">
        <v>11</v>
      </c>
      <c r="M491" t="str">
        <f>'CompilationCalcs - Di et al.EOL'!A305</f>
        <v>PVC</v>
      </c>
      <c r="N491" t="str">
        <f>'CompilationCalcs - Di et al.EOL'!C305</f>
        <v>Consumer and Institutional</v>
      </c>
      <c r="O491" s="11">
        <f>SUMIFS('CompilationCalcs - Di et al.EOL'!$D$4:$D$544,'CompilationCalcs - Di et al.EOL'!$A$4:$A$544,dataforsankey!$M491,'CompilationCalcs - Di et al.EOL'!$C$4:$C$544,$N491)</f>
        <v>0.20617443319212375</v>
      </c>
      <c r="P491" t="str">
        <f t="shared" si="44"/>
        <v>PVC</v>
      </c>
      <c r="S491" t="s">
        <v>191</v>
      </c>
      <c r="T491" t="s">
        <v>361</v>
      </c>
      <c r="U491" s="11">
        <f t="shared" si="43"/>
        <v>7.3086310541341917E-2</v>
      </c>
      <c r="V491" t="s">
        <v>127</v>
      </c>
      <c r="Y491" t="s">
        <v>891</v>
      </c>
      <c r="Z491" t="s">
        <v>18</v>
      </c>
      <c r="AA491" s="11">
        <f t="shared" si="40"/>
        <v>0</v>
      </c>
      <c r="AB491" t="s">
        <v>32</v>
      </c>
      <c r="AE491" t="s">
        <v>891</v>
      </c>
      <c r="AF491" t="s">
        <v>18</v>
      </c>
      <c r="AG491" s="11">
        <f t="shared" si="41"/>
        <v>0</v>
      </c>
      <c r="AH491" t="s">
        <v>32</v>
      </c>
    </row>
    <row r="492" spans="7:34" x14ac:dyDescent="0.2">
      <c r="G492" t="s">
        <v>103</v>
      </c>
      <c r="H492" t="s">
        <v>5</v>
      </c>
      <c r="I492">
        <f>SUMIFS('CompilationCalcs - EPA EOL'!$G$4:$G$264,'CompilationCalcs - EPA EOL'!$F$4:$F$264,dataforsankey!$H492,'CompilationCalcs - EPA EOL'!$A$4:$A$264,dataforsankey!$J492,'CompilationCalcs - EPA EOL'!$B$4:$B$264,dataforsankey!$G492)</f>
        <v>0</v>
      </c>
      <c r="J492" t="s">
        <v>127</v>
      </c>
      <c r="M492" t="str">
        <f>'CompilationCalcs - Di et al.EOL'!A306</f>
        <v>PVC</v>
      </c>
      <c r="N492" t="str">
        <f>'CompilationCalcs - Di et al.EOL'!C306</f>
        <v>Adhesives/Inks/Coatings</v>
      </c>
      <c r="O492" s="11">
        <f>SUMIFS('CompilationCalcs - Di et al.EOL'!$D$4:$D$544,'CompilationCalcs - Di et al.EOL'!$A$4:$A$544,dataforsankey!$M492,'CompilationCalcs - Di et al.EOL'!$C$4:$C$544,$N492)</f>
        <v>0.20617443319212375</v>
      </c>
      <c r="P492" t="str">
        <f t="shared" si="44"/>
        <v>PVC</v>
      </c>
      <c r="S492" t="s">
        <v>191</v>
      </c>
      <c r="T492" t="s">
        <v>360</v>
      </c>
      <c r="U492" s="11">
        <f t="shared" si="43"/>
        <v>0.18426848892856054</v>
      </c>
      <c r="V492" t="s">
        <v>1</v>
      </c>
      <c r="Y492" t="s">
        <v>891</v>
      </c>
      <c r="Z492" t="s">
        <v>38</v>
      </c>
      <c r="AA492" s="11">
        <f t="shared" si="40"/>
        <v>0</v>
      </c>
      <c r="AB492" t="s">
        <v>105</v>
      </c>
      <c r="AE492" t="s">
        <v>891</v>
      </c>
      <c r="AF492" t="s">
        <v>38</v>
      </c>
      <c r="AG492" s="11">
        <f t="shared" si="41"/>
        <v>0</v>
      </c>
      <c r="AH492" t="s">
        <v>105</v>
      </c>
    </row>
    <row r="493" spans="7:34" x14ac:dyDescent="0.2">
      <c r="G493" t="s">
        <v>103</v>
      </c>
      <c r="H493" t="s">
        <v>5</v>
      </c>
      <c r="I493">
        <f>SUMIFS('CompilationCalcs - EPA EOL'!$G$4:$G$264,'CompilationCalcs - EPA EOL'!$F$4:$F$264,dataforsankey!$H493,'CompilationCalcs - EPA EOL'!$A$4:$A$264,dataforsankey!$J493,'CompilationCalcs - EPA EOL'!$B$4:$B$264,dataforsankey!$G493)</f>
        <v>0</v>
      </c>
      <c r="J493" t="s">
        <v>122</v>
      </c>
      <c r="M493" t="str">
        <f>'CompilationCalcs - Di et al.EOL'!A307</f>
        <v>PVC</v>
      </c>
      <c r="N493" t="str">
        <f>'CompilationCalcs - Di et al.EOL'!C307</f>
        <v>Textiles, Fibers and Apparel</v>
      </c>
      <c r="O493" s="11">
        <f>SUMIFS('CompilationCalcs - Di et al.EOL'!$D$4:$D$544,'CompilationCalcs - Di et al.EOL'!$A$4:$A$544,dataforsankey!$M493,'CompilationCalcs - Di et al.EOL'!$C$4:$C$544,$N493)</f>
        <v>0</v>
      </c>
      <c r="P493" t="str">
        <f t="shared" si="44"/>
        <v>PVC</v>
      </c>
      <c r="S493" t="s">
        <v>191</v>
      </c>
      <c r="T493" t="s">
        <v>361</v>
      </c>
      <c r="U493" s="11">
        <f t="shared" si="43"/>
        <v>9.1743595784060952E-2</v>
      </c>
      <c r="V493" t="s">
        <v>1</v>
      </c>
      <c r="Y493" t="s">
        <v>891</v>
      </c>
      <c r="Z493" t="s">
        <v>99</v>
      </c>
      <c r="AA493" s="11">
        <f t="shared" si="40"/>
        <v>0</v>
      </c>
      <c r="AB493" t="s">
        <v>105</v>
      </c>
      <c r="AE493" t="s">
        <v>891</v>
      </c>
      <c r="AF493" t="s">
        <v>99</v>
      </c>
      <c r="AG493" s="11">
        <f t="shared" si="41"/>
        <v>0</v>
      </c>
      <c r="AH493" t="s">
        <v>105</v>
      </c>
    </row>
    <row r="494" spans="7:34" x14ac:dyDescent="0.2">
      <c r="G494" t="s">
        <v>103</v>
      </c>
      <c r="H494" t="s">
        <v>5</v>
      </c>
      <c r="I494">
        <f>SUMIFS('CompilationCalcs - EPA EOL'!$G$4:$G$264,'CompilationCalcs - EPA EOL'!$F$4:$F$264,dataforsankey!$H494,'CompilationCalcs - EPA EOL'!$A$4:$A$264,dataforsankey!$J494,'CompilationCalcs - EPA EOL'!$B$4:$B$264,dataforsankey!$G494)</f>
        <v>0</v>
      </c>
      <c r="J494" t="s">
        <v>82</v>
      </c>
      <c r="M494" t="str">
        <f>'CompilationCalcs - Di et al.EOL'!A308</f>
        <v>PVC</v>
      </c>
      <c r="N494" t="str">
        <f>'CompilationCalcs - Di et al.EOL'!C308</f>
        <v>Other End Use Markets</v>
      </c>
      <c r="O494" s="11">
        <f>SUMIFS('CompilationCalcs - Di et al.EOL'!$D$4:$D$544,'CompilationCalcs - Di et al.EOL'!$A$4:$A$544,dataforsankey!$M494,'CompilationCalcs - Di et al.EOL'!$C$4:$C$544,$N494)</f>
        <v>0.20617443319212375</v>
      </c>
      <c r="P494" t="str">
        <f t="shared" si="44"/>
        <v>PVC</v>
      </c>
      <c r="S494" t="s">
        <v>191</v>
      </c>
      <c r="T494" t="s">
        <v>360</v>
      </c>
      <c r="U494" s="11">
        <f t="shared" si="43"/>
        <v>0</v>
      </c>
      <c r="V494" t="s">
        <v>10</v>
      </c>
      <c r="Y494" t="s">
        <v>891</v>
      </c>
      <c r="Z494" t="s">
        <v>69</v>
      </c>
      <c r="AA494" s="11">
        <f t="shared" si="40"/>
        <v>0.17562784680527832</v>
      </c>
      <c r="AB494" t="s">
        <v>105</v>
      </c>
      <c r="AE494" t="s">
        <v>891</v>
      </c>
      <c r="AF494" t="s">
        <v>69</v>
      </c>
      <c r="AG494" s="11">
        <f t="shared" si="41"/>
        <v>0.17562784680527832</v>
      </c>
      <c r="AH494" t="s">
        <v>105</v>
      </c>
    </row>
    <row r="495" spans="7:34" x14ac:dyDescent="0.2">
      <c r="G495" t="s">
        <v>103</v>
      </c>
      <c r="H495" t="s">
        <v>6</v>
      </c>
      <c r="I495">
        <f>SUMIFS('CompilationCalcs - EPA EOL'!$G$4:$G$264,'CompilationCalcs - EPA EOL'!$F$4:$F$264,dataforsankey!$H495,'CompilationCalcs - EPA EOL'!$A$4:$A$264,dataforsankey!$J495,'CompilationCalcs - EPA EOL'!$B$4:$B$264,dataforsankey!$G495)</f>
        <v>0</v>
      </c>
      <c r="J495" t="s">
        <v>0</v>
      </c>
      <c r="M495" t="str">
        <f>'CompilationCalcs - Di et al.EOL'!A309</f>
        <v>PVC</v>
      </c>
      <c r="N495" t="str">
        <f>'CompilationCalcs - Di et al.EOL'!C309</f>
        <v>Exports</v>
      </c>
      <c r="O495" s="11">
        <f>SUMIFS('CompilationCalcs - Di et al.EOL'!$D$4:$D$544,'CompilationCalcs - Di et al.EOL'!$A$4:$A$544,dataforsankey!$M495,'CompilationCalcs - Di et al.EOL'!$C$4:$C$544,$N495)</f>
        <v>0.20617443319212375</v>
      </c>
      <c r="P495" t="str">
        <f t="shared" si="44"/>
        <v>PVC</v>
      </c>
      <c r="S495" t="s">
        <v>191</v>
      </c>
      <c r="T495" t="s">
        <v>361</v>
      </c>
      <c r="U495" s="11">
        <f t="shared" si="43"/>
        <v>1.4811899741493821E-2</v>
      </c>
      <c r="V495" t="s">
        <v>10</v>
      </c>
      <c r="Y495" t="s">
        <v>891</v>
      </c>
      <c r="Z495" t="s">
        <v>100</v>
      </c>
      <c r="AA495" s="11">
        <f t="shared" si="40"/>
        <v>0</v>
      </c>
      <c r="AB495" t="s">
        <v>105</v>
      </c>
      <c r="AE495" t="s">
        <v>891</v>
      </c>
      <c r="AF495" t="s">
        <v>100</v>
      </c>
      <c r="AG495" s="11">
        <f t="shared" si="41"/>
        <v>0</v>
      </c>
      <c r="AH495" t="s">
        <v>105</v>
      </c>
    </row>
    <row r="496" spans="7:34" x14ac:dyDescent="0.2">
      <c r="G496" t="s">
        <v>103</v>
      </c>
      <c r="H496" t="s">
        <v>6</v>
      </c>
      <c r="I496">
        <f>SUMIFS('CompilationCalcs - EPA EOL'!$G$4:$G$264,'CompilationCalcs - EPA EOL'!$F$4:$F$264,dataforsankey!$H496,'CompilationCalcs - EPA EOL'!$A$4:$A$264,dataforsankey!$J496,'CompilationCalcs - EPA EOL'!$B$4:$B$264,dataforsankey!$G496)</f>
        <v>0</v>
      </c>
      <c r="J496" t="s">
        <v>2</v>
      </c>
      <c r="M496" t="str">
        <f>'CompilationCalcs - Di et al.EOL'!A334</f>
        <v>PET</v>
      </c>
      <c r="N496" t="str">
        <f>'CompilationCalcs - Di et al.EOL'!C310</f>
        <v>Building and Construction</v>
      </c>
      <c r="O496" s="11">
        <f>SUMIFS('CompilationCalcs - Di et al.EOL'!$D$4:$D$544,'CompilationCalcs - Di et al.EOL'!$A$4:$A$544,dataforsankey!$M496,'CompilationCalcs - Di et al.EOL'!$C$4:$C$544,$N496)</f>
        <v>0</v>
      </c>
      <c r="P496" t="str">
        <f t="shared" si="44"/>
        <v>PET</v>
      </c>
      <c r="S496" t="s">
        <v>191</v>
      </c>
      <c r="T496" t="s">
        <v>360</v>
      </c>
      <c r="U496" s="11">
        <f t="shared" si="43"/>
        <v>1.8055670057129148E-2</v>
      </c>
      <c r="V496" t="s">
        <v>11</v>
      </c>
      <c r="Y496" t="s">
        <v>891</v>
      </c>
      <c r="Z496" t="s">
        <v>39</v>
      </c>
      <c r="AA496" s="11">
        <f t="shared" si="40"/>
        <v>0</v>
      </c>
      <c r="AB496" t="s">
        <v>105</v>
      </c>
      <c r="AE496" t="s">
        <v>891</v>
      </c>
      <c r="AF496" t="s">
        <v>39</v>
      </c>
      <c r="AG496" s="11">
        <f t="shared" si="41"/>
        <v>0</v>
      </c>
      <c r="AH496" t="s">
        <v>105</v>
      </c>
    </row>
    <row r="497" spans="7:34" x14ac:dyDescent="0.2">
      <c r="G497" t="s">
        <v>103</v>
      </c>
      <c r="H497" t="s">
        <v>6</v>
      </c>
      <c r="I497">
        <f>SUMIFS('CompilationCalcs - EPA EOL'!$G$4:$G$264,'CompilationCalcs - EPA EOL'!$F$4:$F$264,dataforsankey!$H497,'CompilationCalcs - EPA EOL'!$A$4:$A$264,dataforsankey!$J497,'CompilationCalcs - EPA EOL'!$B$4:$B$264,dataforsankey!$G497)</f>
        <v>0</v>
      </c>
      <c r="J497" t="s">
        <v>1</v>
      </c>
      <c r="M497" t="str">
        <f>'CompilationCalcs - Di et al.EOL'!A335</f>
        <v>PET</v>
      </c>
      <c r="N497" t="str">
        <f>'CompilationCalcs - Di et al.EOL'!C311</f>
        <v>Furniture and Furnishings</v>
      </c>
      <c r="O497" s="11">
        <f>SUMIFS('CompilationCalcs - Di et al.EOL'!$D$4:$D$544,'CompilationCalcs - Di et al.EOL'!$A$4:$A$544,dataforsankey!$M497,'CompilationCalcs - Di et al.EOL'!$C$4:$C$544,$N497)</f>
        <v>0</v>
      </c>
      <c r="P497" t="str">
        <f t="shared" ref="P497:P499" si="45">M497</f>
        <v>PET</v>
      </c>
      <c r="S497" t="s">
        <v>191</v>
      </c>
      <c r="T497" t="s">
        <v>361</v>
      </c>
      <c r="U497" s="11">
        <f t="shared" si="43"/>
        <v>3.1401165316746341E-3</v>
      </c>
      <c r="V497" t="s">
        <v>11</v>
      </c>
      <c r="Y497" t="s">
        <v>891</v>
      </c>
      <c r="Z497" t="s">
        <v>68</v>
      </c>
      <c r="AA497" s="11">
        <f t="shared" si="40"/>
        <v>0</v>
      </c>
      <c r="AB497" t="s">
        <v>105</v>
      </c>
      <c r="AE497" t="s">
        <v>891</v>
      </c>
      <c r="AF497" t="s">
        <v>68</v>
      </c>
      <c r="AG497" s="11">
        <f t="shared" si="41"/>
        <v>0</v>
      </c>
      <c r="AH497" t="s">
        <v>105</v>
      </c>
    </row>
    <row r="498" spans="7:34" x14ac:dyDescent="0.2">
      <c r="G498" t="s">
        <v>103</v>
      </c>
      <c r="H498" t="s">
        <v>6</v>
      </c>
      <c r="I498">
        <f>SUMIFS('CompilationCalcs - EPA EOL'!$G$4:$G$264,'CompilationCalcs - EPA EOL'!$F$4:$F$264,dataforsankey!$H498,'CompilationCalcs - EPA EOL'!$A$4:$A$264,dataforsankey!$J498,'CompilationCalcs - EPA EOL'!$B$4:$B$264,dataforsankey!$G498)</f>
        <v>0</v>
      </c>
      <c r="J498" t="s">
        <v>7</v>
      </c>
      <c r="M498" t="str">
        <f>'CompilationCalcs - Di et al.EOL'!A336</f>
        <v>PET</v>
      </c>
      <c r="N498" t="str">
        <f>'CompilationCalcs - Di et al.EOL'!C312</f>
        <v>Transportation</v>
      </c>
      <c r="O498" s="11">
        <f>SUMIFS('CompilationCalcs - Di et al.EOL'!$D$4:$D$544,'CompilationCalcs - Di et al.EOL'!$A$4:$A$544,dataforsankey!$M498,'CompilationCalcs - Di et al.EOL'!$C$4:$C$544,$N498)</f>
        <v>0</v>
      </c>
      <c r="P498" t="str">
        <f t="shared" si="45"/>
        <v>PET</v>
      </c>
      <c r="S498" t="s">
        <v>191</v>
      </c>
      <c r="T498" t="s">
        <v>360</v>
      </c>
      <c r="U498" s="11">
        <f t="shared" si="43"/>
        <v>1.8541159735217094E-2</v>
      </c>
      <c r="V498" t="s">
        <v>25</v>
      </c>
      <c r="Y498" t="s">
        <v>891</v>
      </c>
      <c r="Z498" t="s">
        <v>63</v>
      </c>
      <c r="AA498" s="11">
        <f t="shared" si="40"/>
        <v>0</v>
      </c>
      <c r="AB498" t="s">
        <v>105</v>
      </c>
      <c r="AE498" t="s">
        <v>891</v>
      </c>
      <c r="AF498" t="s">
        <v>63</v>
      </c>
      <c r="AG498" s="11">
        <f t="shared" si="41"/>
        <v>0</v>
      </c>
      <c r="AH498" t="s">
        <v>105</v>
      </c>
    </row>
    <row r="499" spans="7:34" x14ac:dyDescent="0.2">
      <c r="G499" t="s">
        <v>103</v>
      </c>
      <c r="H499" t="s">
        <v>6</v>
      </c>
      <c r="I499">
        <f>SUMIFS('CompilationCalcs - EPA EOL'!$G$4:$G$264,'CompilationCalcs - EPA EOL'!$F$4:$F$264,dataforsankey!$H499,'CompilationCalcs - EPA EOL'!$A$4:$A$264,dataforsankey!$J499,'CompilationCalcs - EPA EOL'!$B$4:$B$264,dataforsankey!$G499)</f>
        <v>0</v>
      </c>
      <c r="J499" t="s">
        <v>8</v>
      </c>
      <c r="M499" t="str">
        <f>'CompilationCalcs - Di et al.EOL'!A337</f>
        <v>PET</v>
      </c>
      <c r="N499" t="str">
        <f>'CompilationCalcs - Di et al.EOL'!C313</f>
        <v>Industrial/Machinery</v>
      </c>
      <c r="O499" s="11">
        <f>SUMIFS('CompilationCalcs - Di et al.EOL'!$D$4:$D$544,'CompilationCalcs - Di et al.EOL'!$A$4:$A$544,dataforsankey!$M499,'CompilationCalcs - Di et al.EOL'!$C$4:$C$544,$N499)</f>
        <v>0</v>
      </c>
      <c r="P499" t="str">
        <f t="shared" si="45"/>
        <v>PET</v>
      </c>
      <c r="S499" t="s">
        <v>191</v>
      </c>
      <c r="T499" t="s">
        <v>361</v>
      </c>
      <c r="U499" s="11">
        <f t="shared" si="43"/>
        <v>3.2245495191681904E-3</v>
      </c>
      <c r="V499" t="s">
        <v>25</v>
      </c>
      <c r="Y499" t="s">
        <v>891</v>
      </c>
      <c r="Z499" t="s">
        <v>92</v>
      </c>
      <c r="AA499" s="11">
        <f t="shared" si="40"/>
        <v>0</v>
      </c>
      <c r="AB499" t="s">
        <v>105</v>
      </c>
      <c r="AE499" t="s">
        <v>891</v>
      </c>
      <c r="AF499" t="s">
        <v>92</v>
      </c>
      <c r="AG499" s="11">
        <f t="shared" si="41"/>
        <v>0</v>
      </c>
      <c r="AH499" t="s">
        <v>105</v>
      </c>
    </row>
    <row r="500" spans="7:34" x14ac:dyDescent="0.2">
      <c r="G500" t="s">
        <v>103</v>
      </c>
      <c r="H500" t="s">
        <v>6</v>
      </c>
      <c r="I500">
        <f>SUMIFS('CompilationCalcs - EPA EOL'!$G$4:$G$264,'CompilationCalcs - EPA EOL'!$F$4:$F$264,dataforsankey!$H500,'CompilationCalcs - EPA EOL'!$A$4:$A$264,dataforsankey!$J500,'CompilationCalcs - EPA EOL'!$B$4:$B$264,dataforsankey!$G500)</f>
        <v>0</v>
      </c>
      <c r="J500" t="s">
        <v>9</v>
      </c>
      <c r="M500" t="str">
        <f>'CompilationCalcs - Di et al.EOL'!A338</f>
        <v>PET</v>
      </c>
      <c r="N500" t="str">
        <f>'CompilationCalcs - Di et al.EOL'!C338</f>
        <v>Packaging</v>
      </c>
      <c r="O500" s="11">
        <f>SUMIFS('CompilationCalcs - Di et al.EOL'!$D$4:$D$544,'CompilationCalcs - Di et al.EOL'!$A$4:$A$544,dataforsankey!$M500,'CompilationCalcs - Di et al.EOL'!$C$4:$C$544,$N500)</f>
        <v>2.2573636363636371</v>
      </c>
      <c r="P500" t="str">
        <f t="shared" si="44"/>
        <v>PET</v>
      </c>
      <c r="S500" t="s">
        <v>191</v>
      </c>
      <c r="T500" t="s">
        <v>360</v>
      </c>
      <c r="U500" s="11">
        <f t="shared" si="43"/>
        <v>0</v>
      </c>
      <c r="V500" t="s">
        <v>7</v>
      </c>
      <c r="Y500" t="s">
        <v>891</v>
      </c>
      <c r="Z500" t="s">
        <v>103</v>
      </c>
      <c r="AA500" s="11">
        <f t="shared" si="40"/>
        <v>1.7139572271900574E-2</v>
      </c>
      <c r="AB500" t="s">
        <v>105</v>
      </c>
      <c r="AE500" t="s">
        <v>891</v>
      </c>
      <c r="AF500" t="s">
        <v>103</v>
      </c>
      <c r="AG500" s="11">
        <f t="shared" si="41"/>
        <v>1.7139572271900574E-2</v>
      </c>
      <c r="AH500" t="s">
        <v>105</v>
      </c>
    </row>
    <row r="501" spans="7:34" x14ac:dyDescent="0.2">
      <c r="G501" t="s">
        <v>103</v>
      </c>
      <c r="H501" t="s">
        <v>6</v>
      </c>
      <c r="I501">
        <f>SUMIFS('CompilationCalcs - EPA EOL'!$G$4:$G$264,'CompilationCalcs - EPA EOL'!$F$4:$F$264,dataforsankey!$H501,'CompilationCalcs - EPA EOL'!$A$4:$A$264,dataforsankey!$J501,'CompilationCalcs - EPA EOL'!$B$4:$B$264,dataforsankey!$G501)</f>
        <v>0</v>
      </c>
      <c r="J501" t="s">
        <v>10</v>
      </c>
      <c r="M501" t="str">
        <f>'CompilationCalcs - Di et al.EOL'!A339</f>
        <v>PET</v>
      </c>
      <c r="N501" t="str">
        <f>'CompilationCalcs - Di et al.EOL'!C339</f>
        <v>Electrical/Electronic</v>
      </c>
      <c r="O501" s="11">
        <f>SUMIFS('CompilationCalcs - Di et al.EOL'!$D$4:$D$544,'CompilationCalcs - Di et al.EOL'!$A$4:$A$544,dataforsankey!$M501,'CompilationCalcs - Di et al.EOL'!$C$4:$C$544,$N501)</f>
        <v>0</v>
      </c>
      <c r="P501" t="str">
        <f t="shared" si="44"/>
        <v>PET</v>
      </c>
      <c r="S501" t="s">
        <v>191</v>
      </c>
      <c r="T501" t="s">
        <v>361</v>
      </c>
      <c r="U501" s="11">
        <f t="shared" si="43"/>
        <v>3.7184612663858389E-3</v>
      </c>
      <c r="V501" t="s">
        <v>7</v>
      </c>
      <c r="Y501" t="s">
        <v>891</v>
      </c>
      <c r="Z501" t="s">
        <v>86</v>
      </c>
      <c r="AA501" s="11">
        <f t="shared" si="40"/>
        <v>0</v>
      </c>
      <c r="AB501" t="s">
        <v>105</v>
      </c>
      <c r="AE501" t="s">
        <v>891</v>
      </c>
      <c r="AF501" t="s">
        <v>86</v>
      </c>
      <c r="AG501" s="11">
        <f t="shared" si="41"/>
        <v>0</v>
      </c>
      <c r="AH501" t="s">
        <v>105</v>
      </c>
    </row>
    <row r="502" spans="7:34" x14ac:dyDescent="0.2">
      <c r="G502" t="s">
        <v>103</v>
      </c>
      <c r="H502" t="s">
        <v>6</v>
      </c>
      <c r="I502">
        <f>SUMIFS('CompilationCalcs - EPA EOL'!$G$4:$G$264,'CompilationCalcs - EPA EOL'!$F$4:$F$264,dataforsankey!$H502,'CompilationCalcs - EPA EOL'!$A$4:$A$264,dataforsankey!$J502,'CompilationCalcs - EPA EOL'!$B$4:$B$264,dataforsankey!$G502)</f>
        <v>0</v>
      </c>
      <c r="J502" t="s">
        <v>11</v>
      </c>
      <c r="M502" t="str">
        <f>'CompilationCalcs - Di et al.EOL'!A340</f>
        <v>PET</v>
      </c>
      <c r="N502" t="str">
        <f>'CompilationCalcs - Di et al.EOL'!C340</f>
        <v>Consumer and Institutional</v>
      </c>
      <c r="O502" s="11">
        <f>SUMIFS('CompilationCalcs - Di et al.EOL'!$D$4:$D$544,'CompilationCalcs - Di et al.EOL'!$A$4:$A$544,dataforsankey!$M502,'CompilationCalcs - Di et al.EOL'!$C$4:$C$544,$N502)</f>
        <v>0</v>
      </c>
      <c r="P502" t="str">
        <f t="shared" si="44"/>
        <v>PET</v>
      </c>
      <c r="S502" t="s">
        <v>191</v>
      </c>
      <c r="T502" t="s">
        <v>360</v>
      </c>
      <c r="U502" s="11">
        <f t="shared" si="43"/>
        <v>0.3996841989269615</v>
      </c>
      <c r="V502" t="s">
        <v>2</v>
      </c>
      <c r="Y502" t="s">
        <v>891</v>
      </c>
      <c r="Z502" t="s">
        <v>18</v>
      </c>
      <c r="AA502" s="11">
        <f t="shared" si="40"/>
        <v>0</v>
      </c>
      <c r="AB502" t="s">
        <v>105</v>
      </c>
      <c r="AE502" t="s">
        <v>891</v>
      </c>
      <c r="AF502" t="s">
        <v>18</v>
      </c>
      <c r="AG502" s="11">
        <f t="shared" si="41"/>
        <v>0</v>
      </c>
      <c r="AH502" t="s">
        <v>105</v>
      </c>
    </row>
    <row r="503" spans="7:34" x14ac:dyDescent="0.2">
      <c r="G503" t="s">
        <v>103</v>
      </c>
      <c r="H503" t="s">
        <v>6</v>
      </c>
      <c r="I503">
        <f>SUMIFS('CompilationCalcs - EPA EOL'!$G$4:$G$264,'CompilationCalcs - EPA EOL'!$F$4:$F$264,dataforsankey!$H503,'CompilationCalcs - EPA EOL'!$A$4:$A$264,dataforsankey!$J503,'CompilationCalcs - EPA EOL'!$B$4:$B$264,dataforsankey!$G503)</f>
        <v>0</v>
      </c>
      <c r="J503" t="s">
        <v>127</v>
      </c>
      <c r="M503" t="str">
        <f>'CompilationCalcs - Di et al.EOL'!A341</f>
        <v>PET</v>
      </c>
      <c r="N503" t="str">
        <f>'CompilationCalcs - Di et al.EOL'!C341</f>
        <v>Adhesives/Inks/Coatings</v>
      </c>
      <c r="O503" s="11">
        <f>SUMIFS('CompilationCalcs - Di et al.EOL'!$D$4:$D$544,'CompilationCalcs - Di et al.EOL'!$A$4:$A$544,dataforsankey!$M503,'CompilationCalcs - Di et al.EOL'!$C$4:$C$544,$N503)</f>
        <v>0</v>
      </c>
      <c r="P503" t="str">
        <f t="shared" si="44"/>
        <v>PET</v>
      </c>
      <c r="S503" t="s">
        <v>191</v>
      </c>
      <c r="T503" t="s">
        <v>361</v>
      </c>
      <c r="U503" s="11">
        <f t="shared" si="43"/>
        <v>0.17882777560237251</v>
      </c>
      <c r="V503" t="s">
        <v>2</v>
      </c>
      <c r="Y503" t="s">
        <v>891</v>
      </c>
      <c r="Z503" t="s">
        <v>38</v>
      </c>
      <c r="AA503" s="11">
        <f t="shared" si="40"/>
        <v>0</v>
      </c>
      <c r="AB503" t="s">
        <v>576</v>
      </c>
      <c r="AE503" t="s">
        <v>891</v>
      </c>
      <c r="AF503" t="s">
        <v>38</v>
      </c>
      <c r="AG503" s="11">
        <f t="shared" si="41"/>
        <v>0</v>
      </c>
      <c r="AH503" t="s">
        <v>576</v>
      </c>
    </row>
    <row r="504" spans="7:34" x14ac:dyDescent="0.2">
      <c r="G504" t="s">
        <v>103</v>
      </c>
      <c r="H504" t="s">
        <v>6</v>
      </c>
      <c r="I504">
        <f>SUMIFS('CompilationCalcs - EPA EOL'!$G$4:$G$264,'CompilationCalcs - EPA EOL'!$F$4:$F$264,dataforsankey!$H504,'CompilationCalcs - EPA EOL'!$A$4:$A$264,dataforsankey!$J504,'CompilationCalcs - EPA EOL'!$B$4:$B$264,dataforsankey!$G504)</f>
        <v>0</v>
      </c>
      <c r="J504" t="s">
        <v>122</v>
      </c>
      <c r="M504" t="str">
        <f>'CompilationCalcs - Di et al.EOL'!A342</f>
        <v>PET</v>
      </c>
      <c r="N504" t="str">
        <f>'CompilationCalcs - Di et al.EOL'!C342</f>
        <v>Textiles, Fibers and Apparel</v>
      </c>
      <c r="O504" s="11">
        <f>SUMIFS('CompilationCalcs - Di et al.EOL'!$D$4:$D$544,'CompilationCalcs - Di et al.EOL'!$A$4:$A$544,dataforsankey!$M504,'CompilationCalcs - Di et al.EOL'!$C$4:$C$544,$N504)</f>
        <v>0</v>
      </c>
      <c r="P504" t="str">
        <f t="shared" si="44"/>
        <v>PET</v>
      </c>
      <c r="S504" t="s">
        <v>191</v>
      </c>
      <c r="T504" t="s">
        <v>360</v>
      </c>
      <c r="U504" s="11">
        <f t="shared" si="43"/>
        <v>0</v>
      </c>
      <c r="V504" t="s">
        <v>30</v>
      </c>
      <c r="Y504" t="s">
        <v>891</v>
      </c>
      <c r="Z504" t="s">
        <v>99</v>
      </c>
      <c r="AA504" s="11">
        <f t="shared" si="40"/>
        <v>0</v>
      </c>
      <c r="AB504" t="s">
        <v>576</v>
      </c>
      <c r="AE504" t="s">
        <v>891</v>
      </c>
      <c r="AF504" t="s">
        <v>99</v>
      </c>
      <c r="AG504" s="11">
        <f t="shared" si="41"/>
        <v>0</v>
      </c>
      <c r="AH504" t="s">
        <v>576</v>
      </c>
    </row>
    <row r="505" spans="7:34" x14ac:dyDescent="0.2">
      <c r="G505" t="s">
        <v>103</v>
      </c>
      <c r="H505" t="s">
        <v>6</v>
      </c>
      <c r="I505">
        <f>SUMIFS('CompilationCalcs - EPA EOL'!$G$4:$G$264,'CompilationCalcs - EPA EOL'!$F$4:$F$264,dataforsankey!$H505,'CompilationCalcs - EPA EOL'!$A$4:$A$264,dataforsankey!$J505,'CompilationCalcs - EPA EOL'!$B$4:$B$264,dataforsankey!$G505)</f>
        <v>0</v>
      </c>
      <c r="J505" t="s">
        <v>82</v>
      </c>
      <c r="M505" t="str">
        <f>'CompilationCalcs - Di et al.EOL'!A343</f>
        <v>PET</v>
      </c>
      <c r="N505" t="str">
        <f>'CompilationCalcs - Di et al.EOL'!C343</f>
        <v>Other End Use Markets</v>
      </c>
      <c r="O505" s="11">
        <f>SUMIFS('CompilationCalcs - Di et al.EOL'!$D$4:$D$544,'CompilationCalcs - Di et al.EOL'!$A$4:$A$544,dataforsankey!$M505,'CompilationCalcs - Di et al.EOL'!$C$4:$C$544,$N505)</f>
        <v>0.56081818181818188</v>
      </c>
      <c r="P505" t="str">
        <f t="shared" si="44"/>
        <v>PET</v>
      </c>
      <c r="S505" t="s">
        <v>191</v>
      </c>
      <c r="T505" t="s">
        <v>361</v>
      </c>
      <c r="U505" s="11">
        <f t="shared" si="43"/>
        <v>0</v>
      </c>
      <c r="V505" t="s">
        <v>30</v>
      </c>
      <c r="Y505" t="s">
        <v>891</v>
      </c>
      <c r="Z505" t="s">
        <v>69</v>
      </c>
      <c r="AA505" s="11">
        <f t="shared" si="40"/>
        <v>0</v>
      </c>
      <c r="AB505" t="s">
        <v>576</v>
      </c>
      <c r="AE505" t="s">
        <v>891</v>
      </c>
      <c r="AF505" t="s">
        <v>69</v>
      </c>
      <c r="AG505" s="11">
        <f t="shared" si="41"/>
        <v>0</v>
      </c>
      <c r="AH505" t="s">
        <v>576</v>
      </c>
    </row>
    <row r="506" spans="7:34" x14ac:dyDescent="0.2">
      <c r="G506" t="s">
        <v>86</v>
      </c>
      <c r="H506" t="s">
        <v>4</v>
      </c>
      <c r="I506">
        <f>SUMIFS('CompilationCalcs - EPA EOL'!$G$4:$G$264,'CompilationCalcs - EPA EOL'!$F$4:$F$264,dataforsankey!$H506,'CompilationCalcs - EPA EOL'!$A$4:$A$264,dataforsankey!$J506,'CompilationCalcs - EPA EOL'!$B$4:$B$264,dataforsankey!$G506)</f>
        <v>1.6363636363636365E-2</v>
      </c>
      <c r="J506" t="s">
        <v>0</v>
      </c>
      <c r="M506" t="str">
        <f>'CompilationCalcs - Di et al.EOL'!A344</f>
        <v>PET</v>
      </c>
      <c r="N506" t="str">
        <f>'CompilationCalcs - Di et al.EOL'!C344</f>
        <v>Exports</v>
      </c>
      <c r="O506" s="11">
        <f>SUMIFS('CompilationCalcs - Di et al.EOL'!$D$4:$D$544,'CompilationCalcs - Di et al.EOL'!$A$4:$A$544,dataforsankey!$M506,'CompilationCalcs - Di et al.EOL'!$C$4:$C$544,$N506)</f>
        <v>0</v>
      </c>
      <c r="P506" t="str">
        <f t="shared" si="44"/>
        <v>PET</v>
      </c>
      <c r="S506" t="s">
        <v>191</v>
      </c>
      <c r="T506" t="s">
        <v>360</v>
      </c>
      <c r="U506" s="11">
        <f t="shared" si="43"/>
        <v>0</v>
      </c>
      <c r="V506" t="s">
        <v>31</v>
      </c>
      <c r="Y506" t="s">
        <v>891</v>
      </c>
      <c r="Z506" t="s">
        <v>100</v>
      </c>
      <c r="AA506" s="11">
        <f t="shared" si="40"/>
        <v>0</v>
      </c>
      <c r="AB506" t="s">
        <v>576</v>
      </c>
      <c r="AE506" t="s">
        <v>891</v>
      </c>
      <c r="AF506" t="s">
        <v>100</v>
      </c>
      <c r="AG506" s="11">
        <f t="shared" si="41"/>
        <v>0</v>
      </c>
      <c r="AH506" t="s">
        <v>576</v>
      </c>
    </row>
    <row r="507" spans="7:34" x14ac:dyDescent="0.2">
      <c r="G507" t="s">
        <v>86</v>
      </c>
      <c r="H507" t="s">
        <v>4</v>
      </c>
      <c r="I507">
        <f>SUMIFS('CompilationCalcs - EPA EOL'!$G$4:$G$264,'CompilationCalcs - EPA EOL'!$F$4:$F$264,dataforsankey!$H507,'CompilationCalcs - EPA EOL'!$A$4:$A$264,dataforsankey!$J507,'CompilationCalcs - EPA EOL'!$B$4:$B$264,dataforsankey!$G507)</f>
        <v>0.17729090909090905</v>
      </c>
      <c r="J507" t="s">
        <v>2</v>
      </c>
      <c r="M507" t="str">
        <f>'CompilationCalcs - Di et al.EOL'!A369</f>
        <v>Polyester fiber</v>
      </c>
      <c r="N507" t="str">
        <f>'CompilationCalcs - Di et al.EOL'!C369</f>
        <v>Building and Construction</v>
      </c>
      <c r="O507" s="11">
        <f>SUMIFS('CompilationCalcs - Di et al.EOL'!$D$4:$D$544,'CompilationCalcs - Di et al.EOL'!$A$4:$A$544,dataforsankey!$M507,'CompilationCalcs - Di et al.EOL'!$C$4:$C$544,$N507)</f>
        <v>0</v>
      </c>
      <c r="P507" t="str">
        <f t="shared" ref="P507:P524" si="46">M507</f>
        <v>Polyester fiber</v>
      </c>
      <c r="S507" t="s">
        <v>191</v>
      </c>
      <c r="T507" t="s">
        <v>361</v>
      </c>
      <c r="U507" s="11">
        <f t="shared" si="43"/>
        <v>0</v>
      </c>
      <c r="V507" t="s">
        <v>31</v>
      </c>
      <c r="Y507" t="s">
        <v>891</v>
      </c>
      <c r="Z507" t="s">
        <v>39</v>
      </c>
      <c r="AA507" s="11">
        <f t="shared" si="40"/>
        <v>0</v>
      </c>
      <c r="AB507" t="s">
        <v>576</v>
      </c>
      <c r="AE507" t="s">
        <v>891</v>
      </c>
      <c r="AF507" t="s">
        <v>39</v>
      </c>
      <c r="AG507" s="11">
        <f t="shared" si="41"/>
        <v>0</v>
      </c>
      <c r="AH507" t="s">
        <v>576</v>
      </c>
    </row>
    <row r="508" spans="7:34" x14ac:dyDescent="0.2">
      <c r="G508" t="s">
        <v>86</v>
      </c>
      <c r="H508" t="s">
        <v>4</v>
      </c>
      <c r="I508">
        <f>SUMIFS('CompilationCalcs - EPA EOL'!$G$4:$G$264,'CompilationCalcs - EPA EOL'!$F$4:$F$264,dataforsankey!$H508,'CompilationCalcs - EPA EOL'!$A$4:$A$264,dataforsankey!$J508,'CompilationCalcs - EPA EOL'!$B$4:$B$264,dataforsankey!$G508)</f>
        <v>4.6280150278259401E-2</v>
      </c>
      <c r="J508" t="s">
        <v>1</v>
      </c>
      <c r="M508" t="str">
        <f>'CompilationCalcs - Di et al.EOL'!A370</f>
        <v>Polyester fiber</v>
      </c>
      <c r="N508" t="str">
        <f>'CompilationCalcs - Di et al.EOL'!C370</f>
        <v>Furniture and Furnishings</v>
      </c>
      <c r="O508" s="11">
        <f>SUMIFS('CompilationCalcs - Di et al.EOL'!$D$4:$D$544,'CompilationCalcs - Di et al.EOL'!$A$4:$A$544,dataforsankey!$M508,'CompilationCalcs - Di et al.EOL'!$C$4:$C$544,$N508)</f>
        <v>0.25500000000000006</v>
      </c>
      <c r="P508" t="str">
        <f t="shared" si="46"/>
        <v>Polyester fiber</v>
      </c>
      <c r="S508" t="s">
        <v>191</v>
      </c>
      <c r="T508" t="s">
        <v>360</v>
      </c>
      <c r="U508" s="11">
        <f t="shared" si="43"/>
        <v>0</v>
      </c>
      <c r="V508" t="s">
        <v>122</v>
      </c>
      <c r="Y508" t="s">
        <v>891</v>
      </c>
      <c r="Z508" t="s">
        <v>68</v>
      </c>
      <c r="AA508" s="11">
        <f t="shared" si="40"/>
        <v>0</v>
      </c>
      <c r="AB508" t="s">
        <v>576</v>
      </c>
      <c r="AE508" t="s">
        <v>891</v>
      </c>
      <c r="AF508" t="s">
        <v>68</v>
      </c>
      <c r="AG508" s="11">
        <f t="shared" si="41"/>
        <v>0</v>
      </c>
      <c r="AH508" t="s">
        <v>576</v>
      </c>
    </row>
    <row r="509" spans="7:34" x14ac:dyDescent="0.2">
      <c r="G509" t="s">
        <v>86</v>
      </c>
      <c r="H509" t="s">
        <v>4</v>
      </c>
      <c r="I509">
        <f>SUMIFS('CompilationCalcs - EPA EOL'!$G$4:$G$264,'CompilationCalcs - EPA EOL'!$F$4:$F$264,dataforsankey!$H509,'CompilationCalcs - EPA EOL'!$A$4:$A$264,dataforsankey!$J509,'CompilationCalcs - EPA EOL'!$B$4:$B$264,dataforsankey!$G509)</f>
        <v>0</v>
      </c>
      <c r="J509" t="s">
        <v>7</v>
      </c>
      <c r="M509" t="str">
        <f>'CompilationCalcs - Di et al.EOL'!A371</f>
        <v>Polyester fiber</v>
      </c>
      <c r="N509" t="str">
        <f>'CompilationCalcs - Di et al.EOL'!C371</f>
        <v>Transportation</v>
      </c>
      <c r="O509" s="11">
        <f>SUMIFS('CompilationCalcs - Di et al.EOL'!$D$4:$D$544,'CompilationCalcs - Di et al.EOL'!$A$4:$A$544,dataforsankey!$M509,'CompilationCalcs - Di et al.EOL'!$C$4:$C$544,$N509)</f>
        <v>0</v>
      </c>
      <c r="P509" t="str">
        <f t="shared" si="46"/>
        <v>Polyester fiber</v>
      </c>
      <c r="S509" t="s">
        <v>191</v>
      </c>
      <c r="T509" t="s">
        <v>361</v>
      </c>
      <c r="U509" s="11">
        <f t="shared" si="43"/>
        <v>0</v>
      </c>
      <c r="V509" t="s">
        <v>122</v>
      </c>
      <c r="Y509" t="s">
        <v>891</v>
      </c>
      <c r="Z509" t="s">
        <v>63</v>
      </c>
      <c r="AA509" s="11">
        <f t="shared" si="40"/>
        <v>0</v>
      </c>
      <c r="AB509" t="s">
        <v>576</v>
      </c>
      <c r="AE509" t="s">
        <v>891</v>
      </c>
      <c r="AF509" t="s">
        <v>63</v>
      </c>
      <c r="AG509" s="11">
        <f t="shared" si="41"/>
        <v>0</v>
      </c>
      <c r="AH509" t="s">
        <v>576</v>
      </c>
    </row>
    <row r="510" spans="7:34" x14ac:dyDescent="0.2">
      <c r="G510" t="s">
        <v>86</v>
      </c>
      <c r="H510" t="s">
        <v>4</v>
      </c>
      <c r="I510">
        <f>SUMIFS('CompilationCalcs - EPA EOL'!$G$4:$G$264,'CompilationCalcs - EPA EOL'!$F$4:$F$264,dataforsankey!$H510,'CompilationCalcs - EPA EOL'!$A$4:$A$264,dataforsankey!$J510,'CompilationCalcs - EPA EOL'!$B$4:$B$264,dataforsankey!$G510)</f>
        <v>3.0577956433849963E-2</v>
      </c>
      <c r="J510" t="s">
        <v>8</v>
      </c>
      <c r="M510" t="str">
        <f>'CompilationCalcs - Di et al.EOL'!A372</f>
        <v>Polyester fiber</v>
      </c>
      <c r="N510" t="str">
        <f>'CompilationCalcs - Di et al.EOL'!C372</f>
        <v>Industrial/Machinery</v>
      </c>
      <c r="O510" s="11">
        <f>SUMIFS('CompilationCalcs - Di et al.EOL'!$D$4:$D$544,'CompilationCalcs - Di et al.EOL'!$A$4:$A$544,dataforsankey!$M510,'CompilationCalcs - Di et al.EOL'!$C$4:$C$544,$N510)</f>
        <v>0.12750000000000003</v>
      </c>
      <c r="P510" t="str">
        <f t="shared" si="46"/>
        <v>Polyester fiber</v>
      </c>
      <c r="S510" t="s">
        <v>191</v>
      </c>
      <c r="T510" t="s">
        <v>360</v>
      </c>
      <c r="U510" s="11">
        <f t="shared" si="43"/>
        <v>0</v>
      </c>
      <c r="V510" t="s">
        <v>32</v>
      </c>
      <c r="Y510" t="s">
        <v>891</v>
      </c>
      <c r="Z510" t="s">
        <v>92</v>
      </c>
      <c r="AA510" s="11">
        <f t="shared" si="40"/>
        <v>0</v>
      </c>
      <c r="AB510" t="s">
        <v>576</v>
      </c>
      <c r="AE510" t="s">
        <v>891</v>
      </c>
      <c r="AF510" t="s">
        <v>92</v>
      </c>
      <c r="AG510" s="11">
        <f t="shared" si="41"/>
        <v>0</v>
      </c>
      <c r="AH510" t="s">
        <v>576</v>
      </c>
    </row>
    <row r="511" spans="7:34" x14ac:dyDescent="0.2">
      <c r="G511" t="s">
        <v>86</v>
      </c>
      <c r="H511" t="s">
        <v>4</v>
      </c>
      <c r="I511">
        <f>SUMIFS('CompilationCalcs - EPA EOL'!$G$4:$G$264,'CompilationCalcs - EPA EOL'!$F$4:$F$264,dataforsankey!$H511,'CompilationCalcs - EPA EOL'!$A$4:$A$264,dataforsankey!$J511,'CompilationCalcs - EPA EOL'!$B$4:$B$264,dataforsankey!$G511)</f>
        <v>0</v>
      </c>
      <c r="J511" t="s">
        <v>9</v>
      </c>
      <c r="M511" t="str">
        <f>'CompilationCalcs - Di et al.EOL'!A373</f>
        <v>Polyester fiber</v>
      </c>
      <c r="N511" t="str">
        <f>'CompilationCalcs - Di et al.EOL'!C373</f>
        <v>Packaging</v>
      </c>
      <c r="O511" s="11">
        <f>SUMIFS('CompilationCalcs - Di et al.EOL'!$D$4:$D$544,'CompilationCalcs - Di et al.EOL'!$A$4:$A$544,dataforsankey!$M511,'CompilationCalcs - Di et al.EOL'!$C$4:$C$544,$N511)</f>
        <v>0</v>
      </c>
      <c r="P511" t="str">
        <f t="shared" si="46"/>
        <v>Polyester fiber</v>
      </c>
      <c r="S511" t="s">
        <v>191</v>
      </c>
      <c r="T511" t="s">
        <v>361</v>
      </c>
      <c r="U511" s="11">
        <f t="shared" si="43"/>
        <v>0</v>
      </c>
      <c r="V511" t="s">
        <v>32</v>
      </c>
      <c r="Y511" t="s">
        <v>891</v>
      </c>
      <c r="Z511" t="s">
        <v>103</v>
      </c>
      <c r="AA511" s="11">
        <f t="shared" si="40"/>
        <v>0</v>
      </c>
      <c r="AB511" t="s">
        <v>576</v>
      </c>
      <c r="AE511" t="s">
        <v>891</v>
      </c>
      <c r="AF511" t="s">
        <v>103</v>
      </c>
      <c r="AG511" s="11">
        <f t="shared" si="41"/>
        <v>0</v>
      </c>
      <c r="AH511" t="s">
        <v>576</v>
      </c>
    </row>
    <row r="512" spans="7:34" x14ac:dyDescent="0.2">
      <c r="G512" t="s">
        <v>86</v>
      </c>
      <c r="H512" t="s">
        <v>4</v>
      </c>
      <c r="I512">
        <f>SUMIFS('CompilationCalcs - EPA EOL'!$G$4:$G$264,'CompilationCalcs - EPA EOL'!$F$4:$F$264,dataforsankey!$H512,'CompilationCalcs - EPA EOL'!$A$4:$A$264,dataforsankey!$J512,'CompilationCalcs - EPA EOL'!$B$4:$B$264,dataforsankey!$G512)</f>
        <v>4.1321562748445895E-3</v>
      </c>
      <c r="J512" t="s">
        <v>10</v>
      </c>
      <c r="M512" t="str">
        <f>'CompilationCalcs - Di et al.EOL'!A374</f>
        <v>Polyester fiber</v>
      </c>
      <c r="N512" t="str">
        <f>'CompilationCalcs - Di et al.EOL'!C374</f>
        <v>Electrical/Electronic</v>
      </c>
      <c r="O512" s="11">
        <f>SUMIFS('CompilationCalcs - Di et al.EOL'!$D$4:$D$544,'CompilationCalcs - Di et al.EOL'!$A$4:$A$544,dataforsankey!$M512,'CompilationCalcs - Di et al.EOL'!$C$4:$C$544,$N512)</f>
        <v>0</v>
      </c>
      <c r="P512" t="str">
        <f t="shared" si="46"/>
        <v>Polyester fiber</v>
      </c>
      <c r="S512" t="s">
        <v>191</v>
      </c>
      <c r="T512" t="s">
        <v>360</v>
      </c>
      <c r="U512" s="11">
        <f t="shared" si="43"/>
        <v>0</v>
      </c>
      <c r="V512" t="s">
        <v>105</v>
      </c>
      <c r="Y512" t="s">
        <v>891</v>
      </c>
      <c r="Z512" t="s">
        <v>86</v>
      </c>
      <c r="AA512" s="11">
        <f t="shared" si="40"/>
        <v>0</v>
      </c>
      <c r="AB512" t="s">
        <v>576</v>
      </c>
      <c r="AE512" t="s">
        <v>891</v>
      </c>
      <c r="AF512" t="s">
        <v>86</v>
      </c>
      <c r="AG512" s="11">
        <f t="shared" si="41"/>
        <v>0</v>
      </c>
      <c r="AH512" t="s">
        <v>576</v>
      </c>
    </row>
    <row r="513" spans="7:34" x14ac:dyDescent="0.2">
      <c r="G513" t="s">
        <v>86</v>
      </c>
      <c r="H513" t="s">
        <v>4</v>
      </c>
      <c r="I513">
        <f>SUMIFS('CompilationCalcs - EPA EOL'!$G$4:$G$264,'CompilationCalcs - EPA EOL'!$F$4:$F$264,dataforsankey!$H513,'CompilationCalcs - EPA EOL'!$A$4:$A$264,dataforsankey!$J513,'CompilationCalcs - EPA EOL'!$B$4:$B$264,dataforsankey!$G513)</f>
        <v>1.6528625099378356E-3</v>
      </c>
      <c r="J513" t="s">
        <v>11</v>
      </c>
      <c r="M513" t="str">
        <f>'CompilationCalcs - Di et al.EOL'!A375</f>
        <v>Polyester fiber</v>
      </c>
      <c r="N513" t="str">
        <f>'CompilationCalcs - Di et al.EOL'!C375</f>
        <v>Consumer and Institutional</v>
      </c>
      <c r="O513" s="11">
        <f>SUMIFS('CompilationCalcs - Di et al.EOL'!$D$4:$D$544,'CompilationCalcs - Di et al.EOL'!$A$4:$A$544,dataforsankey!$M513,'CompilationCalcs - Di et al.EOL'!$C$4:$C$544,$N513)</f>
        <v>0</v>
      </c>
      <c r="P513" t="str">
        <f t="shared" si="46"/>
        <v>Polyester fiber</v>
      </c>
      <c r="S513" t="s">
        <v>191</v>
      </c>
      <c r="T513" t="s">
        <v>361</v>
      </c>
      <c r="U513" s="11">
        <f t="shared" si="43"/>
        <v>0</v>
      </c>
      <c r="V513" t="s">
        <v>105</v>
      </c>
      <c r="Y513" t="s">
        <v>891</v>
      </c>
      <c r="Z513" t="s">
        <v>18</v>
      </c>
      <c r="AA513" s="11">
        <f t="shared" si="40"/>
        <v>0</v>
      </c>
      <c r="AB513" t="s">
        <v>576</v>
      </c>
      <c r="AE513" t="s">
        <v>891</v>
      </c>
      <c r="AF513" t="s">
        <v>18</v>
      </c>
      <c r="AG513" s="11">
        <f t="shared" si="41"/>
        <v>0</v>
      </c>
      <c r="AH513" t="s">
        <v>576</v>
      </c>
    </row>
    <row r="514" spans="7:34" ht="34" x14ac:dyDescent="0.2">
      <c r="G514" t="s">
        <v>86</v>
      </c>
      <c r="H514" t="s">
        <v>4</v>
      </c>
      <c r="I514">
        <f>SUMIFS('CompilationCalcs - EPA EOL'!$G$4:$G$264,'CompilationCalcs - EPA EOL'!$F$4:$F$264,dataforsankey!$H514,'CompilationCalcs - EPA EOL'!$A$4:$A$264,dataforsankey!$J514,'CompilationCalcs - EPA EOL'!$B$4:$B$264,dataforsankey!$G514)</f>
        <v>0</v>
      </c>
      <c r="J514" t="s">
        <v>127</v>
      </c>
      <c r="M514" t="str">
        <f>'CompilationCalcs - Di et al.EOL'!A376</f>
        <v>Polyester fiber</v>
      </c>
      <c r="N514" t="str">
        <f>'CompilationCalcs - Di et al.EOL'!C376</f>
        <v>Adhesives/Inks/Coatings</v>
      </c>
      <c r="O514" s="11">
        <f>SUMIFS('CompilationCalcs - Di et al.EOL'!$D$4:$D$544,'CompilationCalcs - Di et al.EOL'!$A$4:$A$544,dataforsankey!$M514,'CompilationCalcs - Di et al.EOL'!$C$4:$C$544,$N514)</f>
        <v>0</v>
      </c>
      <c r="P514" t="str">
        <f t="shared" si="46"/>
        <v>Polyester fiber</v>
      </c>
      <c r="S514" t="s">
        <v>191</v>
      </c>
      <c r="T514" s="28" t="s">
        <v>193</v>
      </c>
      <c r="U514" s="11">
        <f t="shared" si="43"/>
        <v>1.1324967278435194</v>
      </c>
      <c r="V514" t="s">
        <v>82</v>
      </c>
      <c r="Y514" t="s">
        <v>891</v>
      </c>
      <c r="Z514" t="s">
        <v>38</v>
      </c>
      <c r="AA514" s="11">
        <f t="shared" si="40"/>
        <v>0</v>
      </c>
      <c r="AB514" t="s">
        <v>575</v>
      </c>
      <c r="AE514" t="s">
        <v>891</v>
      </c>
      <c r="AF514" t="s">
        <v>38</v>
      </c>
      <c r="AG514" s="11">
        <f t="shared" si="41"/>
        <v>0</v>
      </c>
      <c r="AH514" t="s">
        <v>575</v>
      </c>
    </row>
    <row r="515" spans="7:34" ht="34" x14ac:dyDescent="0.2">
      <c r="G515" t="s">
        <v>86</v>
      </c>
      <c r="H515" t="s">
        <v>4</v>
      </c>
      <c r="I515">
        <f>SUMIFS('CompilationCalcs - EPA EOL'!$G$4:$G$264,'CompilationCalcs - EPA EOL'!$F$4:$F$264,dataforsankey!$H515,'CompilationCalcs - EPA EOL'!$A$4:$A$264,dataforsankey!$J515,'CompilationCalcs - EPA EOL'!$B$4:$B$264,dataforsankey!$G515)</f>
        <v>0</v>
      </c>
      <c r="J515" t="s">
        <v>122</v>
      </c>
      <c r="M515" t="str">
        <f>'CompilationCalcs - Di et al.EOL'!A377</f>
        <v>Polyester fiber</v>
      </c>
      <c r="N515" t="str">
        <f>'CompilationCalcs - Di et al.EOL'!C377</f>
        <v>Textiles, Fibers and Apparel</v>
      </c>
      <c r="O515" s="11">
        <f>SUMIFS('CompilationCalcs - Di et al.EOL'!$D$4:$D$544,'CompilationCalcs - Di et al.EOL'!$A$4:$A$544,dataforsankey!$M515,'CompilationCalcs - Di et al.EOL'!$C$4:$C$544,$N515)</f>
        <v>0.82874999999999999</v>
      </c>
      <c r="P515" t="str">
        <f t="shared" si="46"/>
        <v>Polyester fiber</v>
      </c>
      <c r="S515" t="s">
        <v>191</v>
      </c>
      <c r="T515" s="28" t="s">
        <v>193</v>
      </c>
      <c r="U515" s="11">
        <f t="shared" si="43"/>
        <v>0.10567464265799893</v>
      </c>
      <c r="V515" t="s">
        <v>127</v>
      </c>
      <c r="Y515" t="s">
        <v>891</v>
      </c>
      <c r="Z515" t="s">
        <v>99</v>
      </c>
      <c r="AA515" s="11">
        <f t="shared" si="40"/>
        <v>0</v>
      </c>
      <c r="AB515" t="s">
        <v>575</v>
      </c>
      <c r="AE515" t="s">
        <v>891</v>
      </c>
      <c r="AF515" t="s">
        <v>99</v>
      </c>
      <c r="AG515" s="11">
        <f t="shared" si="41"/>
        <v>0</v>
      </c>
      <c r="AH515" t="s">
        <v>575</v>
      </c>
    </row>
    <row r="516" spans="7:34" ht="34" x14ac:dyDescent="0.2">
      <c r="G516" t="s">
        <v>86</v>
      </c>
      <c r="H516" t="s">
        <v>4</v>
      </c>
      <c r="I516">
        <f>SUMIFS('CompilationCalcs - EPA EOL'!$G$4:$G$264,'CompilationCalcs - EPA EOL'!$F$4:$F$264,dataforsankey!$H516,'CompilationCalcs - EPA EOL'!$A$4:$A$264,dataforsankey!$J516,'CompilationCalcs - EPA EOL'!$B$4:$B$264,dataforsankey!$G516)</f>
        <v>9.1733869301549878E-2</v>
      </c>
      <c r="J516" t="s">
        <v>82</v>
      </c>
      <c r="M516" t="str">
        <f>'CompilationCalcs - Di et al.EOL'!A378</f>
        <v>Polyester fiber</v>
      </c>
      <c r="N516" t="str">
        <f>'CompilationCalcs - Di et al.EOL'!C378</f>
        <v>Other End Use Markets</v>
      </c>
      <c r="O516" s="11">
        <f>SUMIFS('CompilationCalcs - Di et al.EOL'!$D$4:$D$544,'CompilationCalcs - Di et al.EOL'!$A$4:$A$544,dataforsankey!$M516,'CompilationCalcs - Di et al.EOL'!$C$4:$C$544,$N516)</f>
        <v>0</v>
      </c>
      <c r="P516" t="str">
        <f t="shared" si="46"/>
        <v>Polyester fiber</v>
      </c>
      <c r="S516" t="s">
        <v>191</v>
      </c>
      <c r="T516" s="28" t="s">
        <v>193</v>
      </c>
      <c r="U516" s="11">
        <f t="shared" si="43"/>
        <v>5.4060614249980474E-3</v>
      </c>
      <c r="V516" t="s">
        <v>1</v>
      </c>
      <c r="Y516" t="s">
        <v>891</v>
      </c>
      <c r="Z516" t="s">
        <v>69</v>
      </c>
      <c r="AA516" s="11">
        <f t="shared" si="40"/>
        <v>0</v>
      </c>
      <c r="AB516" t="s">
        <v>575</v>
      </c>
      <c r="AE516" t="s">
        <v>891</v>
      </c>
      <c r="AF516" t="s">
        <v>69</v>
      </c>
      <c r="AG516" s="11">
        <f t="shared" si="41"/>
        <v>0</v>
      </c>
      <c r="AH516" t="s">
        <v>575</v>
      </c>
    </row>
    <row r="517" spans="7:34" ht="34" x14ac:dyDescent="0.2">
      <c r="G517" t="s">
        <v>86</v>
      </c>
      <c r="H517" t="s">
        <v>5</v>
      </c>
      <c r="I517">
        <f>SUMIFS('CompilationCalcs - EPA EOL'!$G$4:$G$264,'CompilationCalcs - EPA EOL'!$F$4:$F$264,dataforsankey!$H517,'CompilationCalcs - EPA EOL'!$A$4:$A$264,dataforsankey!$J517,'CompilationCalcs - EPA EOL'!$B$4:$B$264,dataforsankey!$G517)</f>
        <v>0</v>
      </c>
      <c r="J517" t="s">
        <v>0</v>
      </c>
      <c r="M517" t="str">
        <f>'CompilationCalcs - Di et al.EOL'!A379</f>
        <v>Polyester fiber</v>
      </c>
      <c r="N517" t="str">
        <f>'CompilationCalcs - Di et al.EOL'!C379</f>
        <v>Exports</v>
      </c>
      <c r="O517" s="11">
        <f>SUMIFS('CompilationCalcs - Di et al.EOL'!$D$4:$D$544,'CompilationCalcs - Di et al.EOL'!$A$4:$A$544,dataforsankey!$M517,'CompilationCalcs - Di et al.EOL'!$C$4:$C$544,$N517)</f>
        <v>6.3750000000000015E-2</v>
      </c>
      <c r="P517" t="str">
        <f t="shared" si="46"/>
        <v>Polyester fiber</v>
      </c>
      <c r="S517" t="s">
        <v>191</v>
      </c>
      <c r="T517" s="28" t="s">
        <v>193</v>
      </c>
      <c r="U517" s="11">
        <f t="shared" si="43"/>
        <v>0</v>
      </c>
      <c r="V517" t="s">
        <v>10</v>
      </c>
      <c r="Y517" t="s">
        <v>891</v>
      </c>
      <c r="Z517" t="s">
        <v>100</v>
      </c>
      <c r="AA517" s="11">
        <f t="shared" si="40"/>
        <v>0</v>
      </c>
      <c r="AB517" t="s">
        <v>575</v>
      </c>
      <c r="AE517" t="s">
        <v>891</v>
      </c>
      <c r="AF517" t="s">
        <v>100</v>
      </c>
      <c r="AG517" s="11">
        <f t="shared" si="41"/>
        <v>0</v>
      </c>
      <c r="AH517" t="s">
        <v>575</v>
      </c>
    </row>
    <row r="518" spans="7:34" ht="34" x14ac:dyDescent="0.2">
      <c r="G518" t="s">
        <v>86</v>
      </c>
      <c r="H518" t="s">
        <v>5</v>
      </c>
      <c r="I518">
        <f>SUMIFS('CompilationCalcs - EPA EOL'!$G$4:$G$264,'CompilationCalcs - EPA EOL'!$F$4:$F$264,dataforsankey!$H518,'CompilationCalcs - EPA EOL'!$A$4:$A$264,dataforsankey!$J518,'CompilationCalcs - EPA EOL'!$B$4:$B$264,dataforsankey!$G518)</f>
        <v>7.9600000000000004E-2</v>
      </c>
      <c r="J518" t="s">
        <v>2</v>
      </c>
      <c r="M518" t="str">
        <f>'CompilationCalcs - Di et al.EOL'!A404</f>
        <v>ABS</v>
      </c>
      <c r="N518" t="str">
        <f>'CompilationCalcs - Di et al.EOL'!C404</f>
        <v>Building and Construction</v>
      </c>
      <c r="O518" s="11">
        <f>SUMIFS('CompilationCalcs - Di et al.EOL'!$D$4:$D$544,'CompilationCalcs - Di et al.EOL'!$A$4:$A$544,dataforsankey!$M518,'CompilationCalcs - Di et al.EOL'!$C$4:$C$544,$N518)</f>
        <v>4.5105188479999996E-2</v>
      </c>
      <c r="P518" t="str">
        <f t="shared" si="46"/>
        <v>ABS</v>
      </c>
      <c r="S518" t="s">
        <v>191</v>
      </c>
      <c r="T518" s="28" t="s">
        <v>193</v>
      </c>
      <c r="U518" s="11">
        <f t="shared" si="43"/>
        <v>0</v>
      </c>
      <c r="V518" t="s">
        <v>11</v>
      </c>
      <c r="Y518" t="s">
        <v>891</v>
      </c>
      <c r="Z518" t="s">
        <v>39</v>
      </c>
      <c r="AA518" s="11">
        <f t="shared" si="40"/>
        <v>0</v>
      </c>
      <c r="AB518" t="s">
        <v>575</v>
      </c>
      <c r="AE518" t="s">
        <v>891</v>
      </c>
      <c r="AF518" t="s">
        <v>39</v>
      </c>
      <c r="AG518" s="11">
        <f t="shared" si="41"/>
        <v>0</v>
      </c>
      <c r="AH518" t="s">
        <v>575</v>
      </c>
    </row>
    <row r="519" spans="7:34" ht="34" x14ac:dyDescent="0.2">
      <c r="G519" t="s">
        <v>86</v>
      </c>
      <c r="H519" t="s">
        <v>5</v>
      </c>
      <c r="I519">
        <f>SUMIFS('CompilationCalcs - EPA EOL'!$G$4:$G$264,'CompilationCalcs - EPA EOL'!$F$4:$F$264,dataforsankey!$H519,'CompilationCalcs - EPA EOL'!$A$4:$A$264,dataforsankey!$J519,'CompilationCalcs - EPA EOL'!$B$4:$B$264,dataforsankey!$G519)</f>
        <v>8.2643125496891789E-3</v>
      </c>
      <c r="J519" t="s">
        <v>1</v>
      </c>
      <c r="M519" t="str">
        <f>'CompilationCalcs - Di et al.EOL'!A405</f>
        <v>ABS</v>
      </c>
      <c r="N519" t="str">
        <f>'CompilationCalcs - Di et al.EOL'!C405</f>
        <v>Furniture and Furnishings</v>
      </c>
      <c r="O519" s="11">
        <f>SUMIFS('CompilationCalcs - Di et al.EOL'!$D$4:$D$544,'CompilationCalcs - Di et al.EOL'!$A$4:$A$544,dataforsankey!$M519,'CompilationCalcs - Di et al.EOL'!$C$4:$C$544,$N519)</f>
        <v>0</v>
      </c>
      <c r="P519" t="str">
        <f t="shared" si="46"/>
        <v>ABS</v>
      </c>
      <c r="S519" t="s">
        <v>191</v>
      </c>
      <c r="T519" s="28" t="s">
        <v>193</v>
      </c>
      <c r="U519" s="11">
        <f t="shared" si="43"/>
        <v>0</v>
      </c>
      <c r="V519" t="s">
        <v>25</v>
      </c>
      <c r="Y519" t="s">
        <v>891</v>
      </c>
      <c r="Z519" t="s">
        <v>68</v>
      </c>
      <c r="AA519" s="11">
        <f t="shared" si="40"/>
        <v>0</v>
      </c>
      <c r="AB519" t="s">
        <v>575</v>
      </c>
      <c r="AE519" t="s">
        <v>891</v>
      </c>
      <c r="AF519" t="s">
        <v>68</v>
      </c>
      <c r="AG519" s="11">
        <f t="shared" si="41"/>
        <v>0</v>
      </c>
      <c r="AH519" t="s">
        <v>575</v>
      </c>
    </row>
    <row r="520" spans="7:34" ht="34" x14ac:dyDescent="0.2">
      <c r="G520" t="s">
        <v>86</v>
      </c>
      <c r="H520" t="s">
        <v>5</v>
      </c>
      <c r="I520">
        <f>SUMIFS('CompilationCalcs - EPA EOL'!$G$4:$G$264,'CompilationCalcs - EPA EOL'!$F$4:$F$264,dataforsankey!$H520,'CompilationCalcs - EPA EOL'!$A$4:$A$264,dataforsankey!$J520,'CompilationCalcs - EPA EOL'!$B$4:$B$264,dataforsankey!$G520)</f>
        <v>0</v>
      </c>
      <c r="J520" t="s">
        <v>7</v>
      </c>
      <c r="M520" t="str">
        <f>'CompilationCalcs - Di et al.EOL'!A406</f>
        <v>ABS</v>
      </c>
      <c r="N520" t="str">
        <f>'CompilationCalcs - Di et al.EOL'!C406</f>
        <v>Transportation</v>
      </c>
      <c r="O520" s="11">
        <f>SUMIFS('CompilationCalcs - Di et al.EOL'!$D$4:$D$544,'CompilationCalcs - Di et al.EOL'!$A$4:$A$544,dataforsankey!$M520,'CompilationCalcs - Di et al.EOL'!$C$4:$C$544,$N520)</f>
        <v>0.14884712198399999</v>
      </c>
      <c r="P520" t="str">
        <f t="shared" si="46"/>
        <v>ABS</v>
      </c>
      <c r="S520" t="s">
        <v>191</v>
      </c>
      <c r="T520" s="28" t="s">
        <v>193</v>
      </c>
      <c r="U520" s="11">
        <f t="shared" si="43"/>
        <v>1.8592306331929192E-3</v>
      </c>
      <c r="V520" t="s">
        <v>7</v>
      </c>
      <c r="Y520" t="s">
        <v>891</v>
      </c>
      <c r="Z520" t="s">
        <v>63</v>
      </c>
      <c r="AA520" s="11">
        <f t="shared" si="40"/>
        <v>0</v>
      </c>
      <c r="AB520" t="s">
        <v>575</v>
      </c>
      <c r="AE520" t="s">
        <v>891</v>
      </c>
      <c r="AF520" t="s">
        <v>63</v>
      </c>
      <c r="AG520" s="11">
        <f t="shared" si="41"/>
        <v>0</v>
      </c>
      <c r="AH520" t="s">
        <v>575</v>
      </c>
    </row>
    <row r="521" spans="7:34" ht="34" x14ac:dyDescent="0.2">
      <c r="G521" t="s">
        <v>86</v>
      </c>
      <c r="H521" t="s">
        <v>5</v>
      </c>
      <c r="I521">
        <f>SUMIFS('CompilationCalcs - EPA EOL'!$G$4:$G$264,'CompilationCalcs - EPA EOL'!$F$4:$F$264,dataforsankey!$H521,'CompilationCalcs - EPA EOL'!$A$4:$A$264,dataforsankey!$J521,'CompilationCalcs - EPA EOL'!$B$4:$B$264,dataforsankey!$G521)</f>
        <v>0</v>
      </c>
      <c r="J521" t="s">
        <v>8</v>
      </c>
      <c r="M521" t="str">
        <f>'CompilationCalcs - Di et al.EOL'!A407</f>
        <v>ABS</v>
      </c>
      <c r="N521" t="str">
        <f>'CompilationCalcs - Di et al.EOL'!C407</f>
        <v>Industrial/Machinery</v>
      </c>
      <c r="O521" s="11">
        <f>SUMIFS('CompilationCalcs - Di et al.EOL'!$D$4:$D$544,'CompilationCalcs - Di et al.EOL'!$A$4:$A$544,dataforsankey!$M521,'CompilationCalcs - Di et al.EOL'!$C$4:$C$544,$N521)</f>
        <v>0</v>
      </c>
      <c r="P521" t="str">
        <f t="shared" si="46"/>
        <v>ABS</v>
      </c>
      <c r="S521" t="s">
        <v>191</v>
      </c>
      <c r="T521" s="28" t="s">
        <v>193</v>
      </c>
      <c r="U521" s="11">
        <f t="shared" si="43"/>
        <v>0.12443776090303338</v>
      </c>
      <c r="V521" t="s">
        <v>2</v>
      </c>
      <c r="Y521" t="s">
        <v>891</v>
      </c>
      <c r="Z521" t="s">
        <v>92</v>
      </c>
      <c r="AA521" s="11">
        <f t="shared" si="40"/>
        <v>0</v>
      </c>
      <c r="AB521" t="s">
        <v>575</v>
      </c>
      <c r="AE521" t="s">
        <v>891</v>
      </c>
      <c r="AF521" t="s">
        <v>92</v>
      </c>
      <c r="AG521" s="11">
        <f t="shared" si="41"/>
        <v>0</v>
      </c>
      <c r="AH521" t="s">
        <v>575</v>
      </c>
    </row>
    <row r="522" spans="7:34" ht="34" x14ac:dyDescent="0.2">
      <c r="G522" t="s">
        <v>86</v>
      </c>
      <c r="H522" t="s">
        <v>5</v>
      </c>
      <c r="I522">
        <f>SUMIFS('CompilationCalcs - EPA EOL'!$G$4:$G$264,'CompilationCalcs - EPA EOL'!$F$4:$F$264,dataforsankey!$H522,'CompilationCalcs - EPA EOL'!$A$4:$A$264,dataforsankey!$J522,'CompilationCalcs - EPA EOL'!$B$4:$B$264,dataforsankey!$G522)</f>
        <v>0</v>
      </c>
      <c r="J522" t="s">
        <v>9</v>
      </c>
      <c r="M522" t="str">
        <f>'CompilationCalcs - Di et al.EOL'!A408</f>
        <v>ABS</v>
      </c>
      <c r="N522" t="str">
        <f>'CompilationCalcs - Di et al.EOL'!C408</f>
        <v>Packaging</v>
      </c>
      <c r="O522" s="11">
        <f>SUMIFS('CompilationCalcs - Di et al.EOL'!$D$4:$D$544,'CompilationCalcs - Di et al.EOL'!$A$4:$A$544,dataforsankey!$M522,'CompilationCalcs - Di et al.EOL'!$C$4:$C$544,$N522)</f>
        <v>0</v>
      </c>
      <c r="P522" t="str">
        <f t="shared" si="46"/>
        <v>ABS</v>
      </c>
      <c r="S522" t="s">
        <v>191</v>
      </c>
      <c r="T522" s="28" t="s">
        <v>193</v>
      </c>
      <c r="U522" s="11">
        <f t="shared" si="43"/>
        <v>0</v>
      </c>
      <c r="V522" t="s">
        <v>30</v>
      </c>
      <c r="Y522" t="s">
        <v>891</v>
      </c>
      <c r="Z522" t="s">
        <v>103</v>
      </c>
      <c r="AA522" s="11">
        <f t="shared" si="40"/>
        <v>0</v>
      </c>
      <c r="AB522" t="s">
        <v>575</v>
      </c>
      <c r="AE522" t="s">
        <v>891</v>
      </c>
      <c r="AF522" t="s">
        <v>103</v>
      </c>
      <c r="AG522" s="11">
        <f t="shared" si="41"/>
        <v>0</v>
      </c>
      <c r="AH522" t="s">
        <v>575</v>
      </c>
    </row>
    <row r="523" spans="7:34" ht="34" x14ac:dyDescent="0.2">
      <c r="G523" t="s">
        <v>86</v>
      </c>
      <c r="H523" t="s">
        <v>5</v>
      </c>
      <c r="I523">
        <f>SUMIFS('CompilationCalcs - EPA EOL'!$G$4:$G$264,'CompilationCalcs - EPA EOL'!$F$4:$F$264,dataforsankey!$H523,'CompilationCalcs - EPA EOL'!$A$4:$A$264,dataforsankey!$J523,'CompilationCalcs - EPA EOL'!$B$4:$B$264,dataforsankey!$G523)</f>
        <v>0</v>
      </c>
      <c r="J523" t="s">
        <v>10</v>
      </c>
      <c r="M523" t="str">
        <f>'CompilationCalcs - Di et al.EOL'!A409</f>
        <v>ABS</v>
      </c>
      <c r="N523" t="str">
        <f>'CompilationCalcs - Di et al.EOL'!C409</f>
        <v>Electrical/Electronic</v>
      </c>
      <c r="O523" s="11">
        <f>SUMIFS('CompilationCalcs - Di et al.EOL'!$D$4:$D$544,'CompilationCalcs - Di et al.EOL'!$A$4:$A$544,dataforsankey!$M523,'CompilationCalcs - Di et al.EOL'!$C$4:$C$544,$N523)</f>
        <v>0.49615707328000008</v>
      </c>
      <c r="P523" t="str">
        <f t="shared" si="46"/>
        <v>ABS</v>
      </c>
      <c r="S523" t="s">
        <v>191</v>
      </c>
      <c r="T523" s="28" t="s">
        <v>193</v>
      </c>
      <c r="U523" s="11">
        <f t="shared" si="43"/>
        <v>0</v>
      </c>
      <c r="V523" t="s">
        <v>31</v>
      </c>
      <c r="Y523" t="s">
        <v>891</v>
      </c>
      <c r="Z523" t="s">
        <v>86</v>
      </c>
      <c r="AA523" s="11">
        <f t="shared" si="40"/>
        <v>0</v>
      </c>
      <c r="AB523" t="s">
        <v>575</v>
      </c>
      <c r="AE523" t="s">
        <v>891</v>
      </c>
      <c r="AF523" t="s">
        <v>86</v>
      </c>
      <c r="AG523" s="11">
        <f t="shared" si="41"/>
        <v>0</v>
      </c>
      <c r="AH523" t="s">
        <v>575</v>
      </c>
    </row>
    <row r="524" spans="7:34" ht="34" x14ac:dyDescent="0.2">
      <c r="G524" t="s">
        <v>86</v>
      </c>
      <c r="H524" t="s">
        <v>5</v>
      </c>
      <c r="I524">
        <f>SUMIFS('CompilationCalcs - EPA EOL'!$G$4:$G$264,'CompilationCalcs - EPA EOL'!$F$4:$F$264,dataforsankey!$H524,'CompilationCalcs - EPA EOL'!$A$4:$A$264,dataforsankey!$J524,'CompilationCalcs - EPA EOL'!$B$4:$B$264,dataforsankey!$G524)</f>
        <v>0</v>
      </c>
      <c r="J524" t="s">
        <v>11</v>
      </c>
      <c r="M524" t="str">
        <f>'CompilationCalcs - Di et al.EOL'!A410</f>
        <v>ABS</v>
      </c>
      <c r="N524" t="str">
        <f>'CompilationCalcs - Di et al.EOL'!C410</f>
        <v>Consumer and Institutional</v>
      </c>
      <c r="O524" s="11">
        <f>SUMIFS('CompilationCalcs - Di et al.EOL'!$D$4:$D$544,'CompilationCalcs - Di et al.EOL'!$A$4:$A$544,dataforsankey!$M524,'CompilationCalcs - Di et al.EOL'!$C$4:$C$544,$N524)</f>
        <v>0.14884712198399999</v>
      </c>
      <c r="P524" t="str">
        <f t="shared" si="46"/>
        <v>ABS</v>
      </c>
      <c r="S524" t="s">
        <v>191</v>
      </c>
      <c r="T524" s="28" t="s">
        <v>193</v>
      </c>
      <c r="U524" s="11">
        <f t="shared" si="43"/>
        <v>0</v>
      </c>
      <c r="V524" t="s">
        <v>122</v>
      </c>
      <c r="Y524" t="s">
        <v>891</v>
      </c>
      <c r="Z524" t="s">
        <v>18</v>
      </c>
      <c r="AA524" s="11">
        <f t="shared" si="40"/>
        <v>0</v>
      </c>
      <c r="AB524" t="s">
        <v>575</v>
      </c>
      <c r="AE524" t="s">
        <v>891</v>
      </c>
      <c r="AF524" t="s">
        <v>18</v>
      </c>
      <c r="AG524" s="11">
        <f t="shared" si="41"/>
        <v>0</v>
      </c>
      <c r="AH524" t="s">
        <v>575</v>
      </c>
    </row>
    <row r="525" spans="7:34" ht="34" x14ac:dyDescent="0.2">
      <c r="G525" t="s">
        <v>86</v>
      </c>
      <c r="H525" t="s">
        <v>5</v>
      </c>
      <c r="I525">
        <f>SUMIFS('CompilationCalcs - EPA EOL'!$G$4:$G$264,'CompilationCalcs - EPA EOL'!$F$4:$F$264,dataforsankey!$H525,'CompilationCalcs - EPA EOL'!$A$4:$A$264,dataforsankey!$J525,'CompilationCalcs - EPA EOL'!$B$4:$B$264,dataforsankey!$G525)</f>
        <v>0</v>
      </c>
      <c r="J525" t="s">
        <v>127</v>
      </c>
      <c r="M525" t="str">
        <f>'CompilationCalcs - Di et al.EOL'!A411</f>
        <v>ABS</v>
      </c>
      <c r="N525" t="str">
        <f>'CompilationCalcs - Di et al.EOL'!C411</f>
        <v>Adhesives/Inks/Coatings</v>
      </c>
      <c r="O525" s="11">
        <f>SUMIFS('CompilationCalcs - Di et al.EOL'!$D$4:$D$544,'CompilationCalcs - Di et al.EOL'!$A$4:$A$544,dataforsankey!$M525,'CompilationCalcs - Di et al.EOL'!$C$4:$C$544,$N525)</f>
        <v>0</v>
      </c>
      <c r="P525" t="str">
        <f t="shared" ref="P525:P539" si="47">M525</f>
        <v>ABS</v>
      </c>
      <c r="S525" t="s">
        <v>191</v>
      </c>
      <c r="T525" s="28" t="s">
        <v>193</v>
      </c>
      <c r="U525" s="11">
        <f t="shared" si="43"/>
        <v>0</v>
      </c>
      <c r="V525" t="s">
        <v>32</v>
      </c>
      <c r="Y525" t="s">
        <v>872</v>
      </c>
      <c r="Z525" t="s">
        <v>38</v>
      </c>
      <c r="AA525" s="11">
        <f t="shared" si="40"/>
        <v>7.7699574526352202E-3</v>
      </c>
      <c r="AB525" t="s">
        <v>82</v>
      </c>
      <c r="AE525" t="s">
        <v>872</v>
      </c>
      <c r="AF525" t="s">
        <v>38</v>
      </c>
      <c r="AG525" s="11">
        <f t="shared" si="41"/>
        <v>7.7699574526352202E-3</v>
      </c>
      <c r="AH525" t="s">
        <v>82</v>
      </c>
    </row>
    <row r="526" spans="7:34" ht="34" x14ac:dyDescent="0.2">
      <c r="G526" t="s">
        <v>86</v>
      </c>
      <c r="H526" t="s">
        <v>5</v>
      </c>
      <c r="I526">
        <f>SUMIFS('CompilationCalcs - EPA EOL'!$G$4:$G$264,'CompilationCalcs - EPA EOL'!$F$4:$F$264,dataforsankey!$H526,'CompilationCalcs - EPA EOL'!$A$4:$A$264,dataforsankey!$J526,'CompilationCalcs - EPA EOL'!$B$4:$B$264,dataforsankey!$G526)</f>
        <v>0</v>
      </c>
      <c r="J526" t="s">
        <v>122</v>
      </c>
      <c r="M526" t="str">
        <f>'CompilationCalcs - Di et al.EOL'!A412</f>
        <v>ABS</v>
      </c>
      <c r="N526" t="str">
        <f>'CompilationCalcs - Di et al.EOL'!C412</f>
        <v>Textiles, Fibers and Apparel</v>
      </c>
      <c r="O526" s="11">
        <f>SUMIFS('CompilationCalcs - Di et al.EOL'!$D$4:$D$544,'CompilationCalcs - Di et al.EOL'!$A$4:$A$544,dataforsankey!$M526,'CompilationCalcs - Di et al.EOL'!$C$4:$C$544,$N526)</f>
        <v>0</v>
      </c>
      <c r="P526" t="str">
        <f t="shared" si="47"/>
        <v>ABS</v>
      </c>
      <c r="S526" t="s">
        <v>191</v>
      </c>
      <c r="T526" s="28" t="s">
        <v>193</v>
      </c>
      <c r="U526" s="11">
        <f t="shared" si="43"/>
        <v>0</v>
      </c>
      <c r="V526" t="s">
        <v>105</v>
      </c>
      <c r="Y526" t="s">
        <v>872</v>
      </c>
      <c r="Z526" t="s">
        <v>99</v>
      </c>
      <c r="AA526" s="11">
        <f t="shared" si="40"/>
        <v>7.7699574526352202E-3</v>
      </c>
      <c r="AB526" t="s">
        <v>82</v>
      </c>
      <c r="AE526" t="s">
        <v>872</v>
      </c>
      <c r="AF526" t="s">
        <v>99</v>
      </c>
      <c r="AG526" s="11">
        <f t="shared" si="41"/>
        <v>7.7699574526352202E-3</v>
      </c>
      <c r="AH526" t="s">
        <v>82</v>
      </c>
    </row>
    <row r="527" spans="7:34" x14ac:dyDescent="0.2">
      <c r="G527" t="s">
        <v>86</v>
      </c>
      <c r="H527" t="s">
        <v>5</v>
      </c>
      <c r="I527">
        <f>SUMIFS('CompilationCalcs - EPA EOL'!$G$4:$G$264,'CompilationCalcs - EPA EOL'!$F$4:$F$264,dataforsankey!$H527,'CompilationCalcs - EPA EOL'!$A$4:$A$264,dataforsankey!$J527,'CompilationCalcs - EPA EOL'!$B$4:$B$264,dataforsankey!$G527)</f>
        <v>0</v>
      </c>
      <c r="J527" t="s">
        <v>82</v>
      </c>
      <c r="M527" t="str">
        <f>'CompilationCalcs - Di et al.EOL'!A413</f>
        <v>ABS</v>
      </c>
      <c r="N527" t="str">
        <f>'CompilationCalcs - Di et al.EOL'!C413</f>
        <v>Other End Use Markets</v>
      </c>
      <c r="O527" s="11">
        <f>SUMIFS('CompilationCalcs - Di et al.EOL'!$D$4:$D$544,'CompilationCalcs - Di et al.EOL'!$A$4:$A$544,dataforsankey!$M527,'CompilationCalcs - Di et al.EOL'!$C$4:$C$544,$N527)</f>
        <v>6.3147263871999842E-2</v>
      </c>
      <c r="P527" t="str">
        <f t="shared" si="47"/>
        <v>ABS</v>
      </c>
      <c r="S527" t="s">
        <v>891</v>
      </c>
      <c r="T527" t="s">
        <v>38</v>
      </c>
      <c r="U527" s="11">
        <f t="shared" si="43"/>
        <v>0</v>
      </c>
      <c r="V527" t="s">
        <v>82</v>
      </c>
      <c r="Y527" t="s">
        <v>872</v>
      </c>
      <c r="Z527" t="s">
        <v>69</v>
      </c>
      <c r="AA527" s="11">
        <f t="shared" si="40"/>
        <v>7.7699574526352202E-3</v>
      </c>
      <c r="AB527" t="s">
        <v>82</v>
      </c>
      <c r="AE527" t="s">
        <v>872</v>
      </c>
      <c r="AF527" t="s">
        <v>69</v>
      </c>
      <c r="AG527" s="11">
        <f t="shared" si="41"/>
        <v>7.7699574526352202E-3</v>
      </c>
      <c r="AH527" t="s">
        <v>82</v>
      </c>
    </row>
    <row r="528" spans="7:34" x14ac:dyDescent="0.2">
      <c r="G528" t="s">
        <v>86</v>
      </c>
      <c r="H528" t="s">
        <v>6</v>
      </c>
      <c r="I528">
        <f>SUMIFS('CompilationCalcs - EPA EOL'!$G$4:$G$264,'CompilationCalcs - EPA EOL'!$F$4:$F$264,dataforsankey!$H528,'CompilationCalcs - EPA EOL'!$A$4:$A$264,dataforsankey!$J528,'CompilationCalcs - EPA EOL'!$B$4:$B$264,dataforsankey!$G528)</f>
        <v>0</v>
      </c>
      <c r="J528" t="s">
        <v>0</v>
      </c>
      <c r="M528" t="str">
        <f>'CompilationCalcs - Di et al.EOL'!A414</f>
        <v>ABS</v>
      </c>
      <c r="N528" t="str">
        <f>'CompilationCalcs - Di et al.EOL'!C414</f>
        <v>Exports</v>
      </c>
      <c r="O528" s="11">
        <f>SUMIFS('CompilationCalcs - Di et al.EOL'!$D$4:$D$544,'CompilationCalcs - Di et al.EOL'!$A$4:$A$544,dataforsankey!$M528,'CompilationCalcs - Di et al.EOL'!$C$4:$C$544,$N528)</f>
        <v>0</v>
      </c>
      <c r="P528" t="str">
        <f t="shared" si="47"/>
        <v>ABS</v>
      </c>
      <c r="S528" t="s">
        <v>891</v>
      </c>
      <c r="T528" t="s">
        <v>99</v>
      </c>
      <c r="U528" s="11">
        <f t="shared" si="43"/>
        <v>0.26817736521480401</v>
      </c>
      <c r="V528" t="s">
        <v>82</v>
      </c>
      <c r="Y528" t="s">
        <v>872</v>
      </c>
      <c r="Z528" t="s">
        <v>100</v>
      </c>
      <c r="AA528" s="11">
        <f t="shared" si="40"/>
        <v>7.7699574526352202E-3</v>
      </c>
      <c r="AB528" t="s">
        <v>82</v>
      </c>
      <c r="AE528" t="s">
        <v>872</v>
      </c>
      <c r="AF528" t="s">
        <v>100</v>
      </c>
      <c r="AG528" s="11">
        <f t="shared" si="41"/>
        <v>7.7699574526352202E-3</v>
      </c>
      <c r="AH528" t="s">
        <v>82</v>
      </c>
    </row>
    <row r="529" spans="7:34" x14ac:dyDescent="0.2">
      <c r="G529" t="s">
        <v>86</v>
      </c>
      <c r="H529" t="s">
        <v>6</v>
      </c>
      <c r="I529">
        <f>SUMIFS('CompilationCalcs - EPA EOL'!$G$4:$G$264,'CompilationCalcs - EPA EOL'!$F$4:$F$264,dataforsankey!$H529,'CompilationCalcs - EPA EOL'!$A$4:$A$264,dataforsankey!$J529,'CompilationCalcs - EPA EOL'!$B$4:$B$264,dataforsankey!$G529)</f>
        <v>0.32201818181818176</v>
      </c>
      <c r="J529" t="s">
        <v>2</v>
      </c>
      <c r="M529" t="str">
        <f>'CompilationCalcs - Di et al.EOL'!A439</f>
        <v>Polyamide nylon</v>
      </c>
      <c r="N529" t="str">
        <f>'CompilationCalcs - Di et al.EOL'!C439</f>
        <v>Building and Construction</v>
      </c>
      <c r="O529" s="11">
        <f>SUMIFS('CompilationCalcs - Di et al.EOL'!$D$4:$D$544,'CompilationCalcs - Di et al.EOL'!$A$4:$A$544,dataforsankey!$M529,'CompilationCalcs - Di et al.EOL'!$C$4:$C$544,$N529)</f>
        <v>0</v>
      </c>
      <c r="P529" t="str">
        <f t="shared" si="47"/>
        <v>Polyamide nylon</v>
      </c>
      <c r="S529" t="s">
        <v>891</v>
      </c>
      <c r="T529" t="s">
        <v>69</v>
      </c>
      <c r="U529" s="11">
        <f t="shared" si="43"/>
        <v>0.55717219943835039</v>
      </c>
      <c r="V529" t="s">
        <v>82</v>
      </c>
      <c r="Y529" t="s">
        <v>872</v>
      </c>
      <c r="Z529" t="s">
        <v>39</v>
      </c>
      <c r="AA529" s="11">
        <f t="shared" si="40"/>
        <v>7.7699574526352202E-3</v>
      </c>
      <c r="AB529" t="s">
        <v>82</v>
      </c>
      <c r="AE529" t="s">
        <v>872</v>
      </c>
      <c r="AF529" t="s">
        <v>39</v>
      </c>
      <c r="AG529" s="11">
        <f t="shared" si="41"/>
        <v>7.7699574526352202E-3</v>
      </c>
      <c r="AH529" t="s">
        <v>82</v>
      </c>
    </row>
    <row r="530" spans="7:34" x14ac:dyDescent="0.2">
      <c r="G530" t="s">
        <v>86</v>
      </c>
      <c r="H530" t="s">
        <v>6</v>
      </c>
      <c r="I530">
        <f>SUMIFS('CompilationCalcs - EPA EOL'!$G$4:$G$264,'CompilationCalcs - EPA EOL'!$F$4:$F$264,dataforsankey!$H530,'CompilationCalcs - EPA EOL'!$A$4:$A$264,dataforsankey!$J530,'CompilationCalcs - EPA EOL'!$B$4:$B$264,dataforsankey!$G530)</f>
        <v>3.5536543963663465E-2</v>
      </c>
      <c r="J530" t="s">
        <v>1</v>
      </c>
      <c r="M530" t="str">
        <f>'CompilationCalcs - Di et al.EOL'!A440</f>
        <v>Polyamide nylon</v>
      </c>
      <c r="N530" t="str">
        <f>'CompilationCalcs - Di et al.EOL'!C440</f>
        <v>Furniture and Furnishings</v>
      </c>
      <c r="O530" s="11">
        <f>SUMIFS('CompilationCalcs - Di et al.EOL'!$D$4:$D$544,'CompilationCalcs - Di et al.EOL'!$A$4:$A$544,dataforsankey!$M530,'CompilationCalcs - Di et al.EOL'!$C$4:$C$544,$N530)</f>
        <v>0</v>
      </c>
      <c r="P530" t="str">
        <f t="shared" si="47"/>
        <v>Polyamide nylon</v>
      </c>
      <c r="S530" t="s">
        <v>891</v>
      </c>
      <c r="T530" t="s">
        <v>100</v>
      </c>
      <c r="U530" s="11">
        <f t="shared" si="43"/>
        <v>0</v>
      </c>
      <c r="V530" t="s">
        <v>82</v>
      </c>
      <c r="Y530" t="s">
        <v>872</v>
      </c>
      <c r="Z530" t="s">
        <v>68</v>
      </c>
      <c r="AA530" s="11">
        <f t="shared" ref="AA530:AA593" si="48">SUMIFS($O$23:$O$953,$M$23:$M$953,Y530,$N$23:$N$953,Z530,$P$23:$P$953,AB530)</f>
        <v>7.7699574526352202E-3</v>
      </c>
      <c r="AB530" t="s">
        <v>82</v>
      </c>
      <c r="AE530" t="s">
        <v>872</v>
      </c>
      <c r="AF530" t="s">
        <v>68</v>
      </c>
      <c r="AG530" s="11">
        <f t="shared" ref="AG530:AG593" si="49">SUMIFS($O$23:$O$953,$M$23:$M$953,AE530,$N$23:$N$953,AF530,$P$23:$P$953,AH530)</f>
        <v>7.7699574526352202E-3</v>
      </c>
      <c r="AH530" t="s">
        <v>82</v>
      </c>
    </row>
    <row r="531" spans="7:34" x14ac:dyDescent="0.2">
      <c r="G531" t="s">
        <v>86</v>
      </c>
      <c r="H531" t="s">
        <v>6</v>
      </c>
      <c r="I531">
        <f>SUMIFS('CompilationCalcs - EPA EOL'!$G$4:$G$264,'CompilationCalcs - EPA EOL'!$F$4:$F$264,dataforsankey!$H531,'CompilationCalcs - EPA EOL'!$A$4:$A$264,dataforsankey!$J531,'CompilationCalcs - EPA EOL'!$B$4:$B$264,dataforsankey!$G531)</f>
        <v>0</v>
      </c>
      <c r="J531" t="s">
        <v>7</v>
      </c>
      <c r="M531" t="str">
        <f>'CompilationCalcs - Di et al.EOL'!A441</f>
        <v>Polyamide nylon</v>
      </c>
      <c r="N531" t="str">
        <f>'CompilationCalcs - Di et al.EOL'!C441</f>
        <v>Transportation</v>
      </c>
      <c r="O531" s="11">
        <f>SUMIFS('CompilationCalcs - Di et al.EOL'!$D$4:$D$544,'CompilationCalcs - Di et al.EOL'!$A$4:$A$544,dataforsankey!$M531,'CompilationCalcs - Di et al.EOL'!$C$4:$C$544,$N531)</f>
        <v>0</v>
      </c>
      <c r="P531" t="str">
        <f t="shared" si="47"/>
        <v>Polyamide nylon</v>
      </c>
      <c r="S531" t="s">
        <v>891</v>
      </c>
      <c r="T531" t="s">
        <v>39</v>
      </c>
      <c r="U531" s="11">
        <f t="shared" si="43"/>
        <v>0.43530715382209723</v>
      </c>
      <c r="V531" t="s">
        <v>82</v>
      </c>
      <c r="Y531" t="s">
        <v>872</v>
      </c>
      <c r="Z531" t="s">
        <v>63</v>
      </c>
      <c r="AA531" s="11">
        <f t="shared" si="48"/>
        <v>7.7699574526352202E-3</v>
      </c>
      <c r="AB531" t="s">
        <v>82</v>
      </c>
      <c r="AE531" t="s">
        <v>872</v>
      </c>
      <c r="AF531" t="s">
        <v>63</v>
      </c>
      <c r="AG531" s="11">
        <f t="shared" si="49"/>
        <v>7.7699574526352202E-3</v>
      </c>
      <c r="AH531" t="s">
        <v>82</v>
      </c>
    </row>
    <row r="532" spans="7:34" x14ac:dyDescent="0.2">
      <c r="G532" t="s">
        <v>86</v>
      </c>
      <c r="H532" t="s">
        <v>6</v>
      </c>
      <c r="I532">
        <f>SUMIFS('CompilationCalcs - EPA EOL'!$G$4:$G$264,'CompilationCalcs - EPA EOL'!$F$4:$F$264,dataforsankey!$H532,'CompilationCalcs - EPA EOL'!$A$4:$A$264,dataforsankey!$J532,'CompilationCalcs - EPA EOL'!$B$4:$B$264,dataforsankey!$G532)</f>
        <v>0</v>
      </c>
      <c r="J532" t="s">
        <v>8</v>
      </c>
      <c r="M532" t="str">
        <f>'CompilationCalcs - Di et al.EOL'!A442</f>
        <v>Polyamide nylon</v>
      </c>
      <c r="N532" t="str">
        <f>'CompilationCalcs - Di et al.EOL'!C442</f>
        <v>Industrial/Machinery</v>
      </c>
      <c r="O532" s="11">
        <f>SUMIFS('CompilationCalcs - Di et al.EOL'!$D$4:$D$544,'CompilationCalcs - Di et al.EOL'!$A$4:$A$544,dataforsankey!$M532,'CompilationCalcs - Di et al.EOL'!$C$4:$C$544,$N532)</f>
        <v>0</v>
      </c>
      <c r="P532" t="str">
        <f t="shared" si="47"/>
        <v>Polyamide nylon</v>
      </c>
      <c r="S532" t="s">
        <v>891</v>
      </c>
      <c r="T532" t="s">
        <v>68</v>
      </c>
      <c r="U532" s="11">
        <f t="shared" si="43"/>
        <v>0.71151219667875232</v>
      </c>
      <c r="V532" t="s">
        <v>82</v>
      </c>
      <c r="Y532" t="s">
        <v>872</v>
      </c>
      <c r="Z532" t="s">
        <v>92</v>
      </c>
      <c r="AA532" s="11">
        <f t="shared" si="48"/>
        <v>7.7699574526352202E-3</v>
      </c>
      <c r="AB532" t="s">
        <v>82</v>
      </c>
      <c r="AE532" t="s">
        <v>872</v>
      </c>
      <c r="AF532" t="s">
        <v>92</v>
      </c>
      <c r="AG532" s="11">
        <f t="shared" si="49"/>
        <v>7.7699574526352202E-3</v>
      </c>
      <c r="AH532" t="s">
        <v>82</v>
      </c>
    </row>
    <row r="533" spans="7:34" x14ac:dyDescent="0.2">
      <c r="G533" t="s">
        <v>86</v>
      </c>
      <c r="H533" t="s">
        <v>6</v>
      </c>
      <c r="I533">
        <f>SUMIFS('CompilationCalcs - EPA EOL'!$G$4:$G$264,'CompilationCalcs - EPA EOL'!$F$4:$F$264,dataforsankey!$H533,'CompilationCalcs - EPA EOL'!$A$4:$A$264,dataforsankey!$J533,'CompilationCalcs - EPA EOL'!$B$4:$B$264,dataforsankey!$G533)</f>
        <v>0</v>
      </c>
      <c r="J533" t="s">
        <v>9</v>
      </c>
      <c r="M533" t="str">
        <f>'CompilationCalcs - Di et al.EOL'!A443</f>
        <v>Polyamide nylon</v>
      </c>
      <c r="N533" t="str">
        <f>'CompilationCalcs - Di et al.EOL'!C443</f>
        <v>Packaging</v>
      </c>
      <c r="O533" s="11">
        <f>SUMIFS('CompilationCalcs - Di et al.EOL'!$D$4:$D$544,'CompilationCalcs - Di et al.EOL'!$A$4:$A$544,dataforsankey!$M533,'CompilationCalcs - Di et al.EOL'!$C$4:$C$544,$N533)</f>
        <v>0</v>
      </c>
      <c r="P533" t="str">
        <f t="shared" si="47"/>
        <v>Polyamide nylon</v>
      </c>
      <c r="S533" t="s">
        <v>891</v>
      </c>
      <c r="T533" t="s">
        <v>63</v>
      </c>
      <c r="U533" s="11">
        <f t="shared" si="43"/>
        <v>0.26696692704760661</v>
      </c>
      <c r="V533" t="s">
        <v>82</v>
      </c>
      <c r="Y533" t="s">
        <v>872</v>
      </c>
      <c r="Z533" t="s">
        <v>103</v>
      </c>
      <c r="AA533" s="11">
        <f t="shared" si="48"/>
        <v>7.7699574526352202E-3</v>
      </c>
      <c r="AB533" t="s">
        <v>82</v>
      </c>
      <c r="AE533" t="s">
        <v>872</v>
      </c>
      <c r="AF533" t="s">
        <v>103</v>
      </c>
      <c r="AG533" s="11">
        <f t="shared" si="49"/>
        <v>7.7699574526352202E-3</v>
      </c>
      <c r="AH533" t="s">
        <v>82</v>
      </c>
    </row>
    <row r="534" spans="7:34" x14ac:dyDescent="0.2">
      <c r="G534" t="s">
        <v>86</v>
      </c>
      <c r="H534" t="s">
        <v>6</v>
      </c>
      <c r="I534">
        <f>SUMIFS('CompilationCalcs - EPA EOL'!$G$4:$G$264,'CompilationCalcs - EPA EOL'!$F$4:$F$264,dataforsankey!$H534,'CompilationCalcs - EPA EOL'!$A$4:$A$264,dataforsankey!$J534,'CompilationCalcs - EPA EOL'!$B$4:$B$264,dataforsankey!$G534)</f>
        <v>0</v>
      </c>
      <c r="J534" t="s">
        <v>10</v>
      </c>
      <c r="M534" t="str">
        <f>'CompilationCalcs - Di et al.EOL'!A444</f>
        <v>Polyamide nylon</v>
      </c>
      <c r="N534" t="str">
        <f>'CompilationCalcs - Di et al.EOL'!C444</f>
        <v>Electrical/Electronic</v>
      </c>
      <c r="O534" s="11">
        <f>SUMIFS('CompilationCalcs - Di et al.EOL'!$D$4:$D$544,'CompilationCalcs - Di et al.EOL'!$A$4:$A$544,dataforsankey!$M534,'CompilationCalcs - Di et al.EOL'!$C$4:$C$544,$N534)</f>
        <v>0</v>
      </c>
      <c r="P534" t="str">
        <f t="shared" si="47"/>
        <v>Polyamide nylon</v>
      </c>
      <c r="S534" t="s">
        <v>891</v>
      </c>
      <c r="T534" t="s">
        <v>92</v>
      </c>
      <c r="U534" s="11">
        <f t="shared" si="43"/>
        <v>0</v>
      </c>
      <c r="V534" t="s">
        <v>82</v>
      </c>
      <c r="Y534" t="s">
        <v>872</v>
      </c>
      <c r="Z534" t="s">
        <v>86</v>
      </c>
      <c r="AA534" s="11">
        <f t="shared" si="48"/>
        <v>7.7699574526352202E-3</v>
      </c>
      <c r="AB534" t="s">
        <v>82</v>
      </c>
      <c r="AE534" t="s">
        <v>872</v>
      </c>
      <c r="AF534" t="s">
        <v>86</v>
      </c>
      <c r="AG534" s="11">
        <f t="shared" si="49"/>
        <v>7.7699574526352202E-3</v>
      </c>
      <c r="AH534" t="s">
        <v>82</v>
      </c>
    </row>
    <row r="535" spans="7:34" x14ac:dyDescent="0.2">
      <c r="G535" t="s">
        <v>86</v>
      </c>
      <c r="H535" t="s">
        <v>6</v>
      </c>
      <c r="I535">
        <f>SUMIFS('CompilationCalcs - EPA EOL'!$G$4:$G$264,'CompilationCalcs - EPA EOL'!$F$4:$F$264,dataforsankey!$H535,'CompilationCalcs - EPA EOL'!$A$4:$A$264,dataforsankey!$J535,'CompilationCalcs - EPA EOL'!$B$4:$B$264,dataforsankey!$G535)</f>
        <v>0</v>
      </c>
      <c r="J535" t="s">
        <v>11</v>
      </c>
      <c r="M535" t="str">
        <f>'CompilationCalcs - Di et al.EOL'!A445</f>
        <v>Polyamide nylon</v>
      </c>
      <c r="N535" t="str">
        <f>'CompilationCalcs - Di et al.EOL'!C445</f>
        <v>Consumer and Institutional</v>
      </c>
      <c r="O535" s="11">
        <f>SUMIFS('CompilationCalcs - Di et al.EOL'!$D$4:$D$544,'CompilationCalcs - Di et al.EOL'!$A$4:$A$544,dataforsankey!$M535,'CompilationCalcs - Di et al.EOL'!$C$4:$C$544,$N535)</f>
        <v>0</v>
      </c>
      <c r="P535" t="str">
        <f t="shared" si="47"/>
        <v>Polyamide nylon</v>
      </c>
      <c r="S535" t="s">
        <v>891</v>
      </c>
      <c r="T535" t="s">
        <v>103</v>
      </c>
      <c r="U535" s="11">
        <f t="shared" ref="U535:U598" si="50">SUMIFS($O$23:$O$935,$M$23:$M$935,S535,$N$23:$N$935,T535,$P$23:$P$935,V535)</f>
        <v>0.36521603508149775</v>
      </c>
      <c r="V535" t="s">
        <v>82</v>
      </c>
      <c r="Y535" t="s">
        <v>872</v>
      </c>
      <c r="Z535" t="s">
        <v>18</v>
      </c>
      <c r="AA535" s="11">
        <f t="shared" si="48"/>
        <v>7.7699574526352202E-3</v>
      </c>
      <c r="AB535" t="s">
        <v>82</v>
      </c>
      <c r="AE535" t="s">
        <v>872</v>
      </c>
      <c r="AF535" t="s">
        <v>18</v>
      </c>
      <c r="AG535" s="11">
        <f t="shared" si="49"/>
        <v>7.7699574526352202E-3</v>
      </c>
      <c r="AH535" t="s">
        <v>82</v>
      </c>
    </row>
    <row r="536" spans="7:34" x14ac:dyDescent="0.2">
      <c r="G536" t="s">
        <v>86</v>
      </c>
      <c r="H536" t="s">
        <v>6</v>
      </c>
      <c r="I536">
        <f>SUMIFS('CompilationCalcs - EPA EOL'!$G$4:$G$264,'CompilationCalcs - EPA EOL'!$F$4:$F$264,dataforsankey!$H536,'CompilationCalcs - EPA EOL'!$A$4:$A$264,dataforsankey!$J536,'CompilationCalcs - EPA EOL'!$B$4:$B$264,dataforsankey!$G536)</f>
        <v>0</v>
      </c>
      <c r="J536" t="s">
        <v>127</v>
      </c>
      <c r="M536" t="str">
        <f>'CompilationCalcs - Di et al.EOL'!A446</f>
        <v>Polyamide nylon</v>
      </c>
      <c r="N536" t="str">
        <f>'CompilationCalcs - Di et al.EOL'!C446</f>
        <v>Adhesives/Inks/Coatings</v>
      </c>
      <c r="O536" s="11">
        <f>SUMIFS('CompilationCalcs - Di et al.EOL'!$D$4:$D$544,'CompilationCalcs - Di et al.EOL'!$A$4:$A$544,dataforsankey!$M536,'CompilationCalcs - Di et al.EOL'!$C$4:$C$544,$N536)</f>
        <v>0</v>
      </c>
      <c r="P536" t="str">
        <f t="shared" si="47"/>
        <v>Polyamide nylon</v>
      </c>
      <c r="S536" t="s">
        <v>891</v>
      </c>
      <c r="T536" t="s">
        <v>86</v>
      </c>
      <c r="U536" s="11">
        <f t="shared" si="50"/>
        <v>0</v>
      </c>
      <c r="V536" t="s">
        <v>82</v>
      </c>
      <c r="Y536" t="s">
        <v>872</v>
      </c>
      <c r="Z536" t="s">
        <v>38</v>
      </c>
      <c r="AA536" s="11">
        <f t="shared" si="48"/>
        <v>0</v>
      </c>
      <c r="AB536" t="s">
        <v>127</v>
      </c>
      <c r="AE536" t="s">
        <v>872</v>
      </c>
      <c r="AF536" t="s">
        <v>38</v>
      </c>
      <c r="AG536" s="11">
        <f t="shared" si="49"/>
        <v>0</v>
      </c>
      <c r="AH536" t="s">
        <v>127</v>
      </c>
    </row>
    <row r="537" spans="7:34" x14ac:dyDescent="0.2">
      <c r="G537" t="s">
        <v>86</v>
      </c>
      <c r="H537" t="s">
        <v>6</v>
      </c>
      <c r="I537">
        <f>SUMIFS('CompilationCalcs - EPA EOL'!$G$4:$G$264,'CompilationCalcs - EPA EOL'!$F$4:$F$264,dataforsankey!$H537,'CompilationCalcs - EPA EOL'!$A$4:$A$264,dataforsankey!$J537,'CompilationCalcs - EPA EOL'!$B$4:$B$264,dataforsankey!$G537)</f>
        <v>0</v>
      </c>
      <c r="J537" t="s">
        <v>122</v>
      </c>
      <c r="M537" t="str">
        <f>'CompilationCalcs - Di et al.EOL'!A447</f>
        <v>Polyamide nylon</v>
      </c>
      <c r="N537" t="str">
        <f>'CompilationCalcs - Di et al.EOL'!C447</f>
        <v>Textiles, Fibers and Apparel</v>
      </c>
      <c r="O537" s="11">
        <f>SUMIFS('CompilationCalcs - Di et al.EOL'!$D$4:$D$544,'CompilationCalcs - Di et al.EOL'!$A$4:$A$544,dataforsankey!$M537,'CompilationCalcs - Di et al.EOL'!$C$4:$C$544,$N537)</f>
        <v>0</v>
      </c>
      <c r="P537" t="str">
        <f t="shared" si="47"/>
        <v>Polyamide nylon</v>
      </c>
      <c r="S537" t="s">
        <v>891</v>
      </c>
      <c r="T537" t="s">
        <v>18</v>
      </c>
      <c r="U537" s="11">
        <f t="shared" si="50"/>
        <v>0</v>
      </c>
      <c r="V537" t="s">
        <v>82</v>
      </c>
      <c r="Y537" t="s">
        <v>872</v>
      </c>
      <c r="Z537" t="s">
        <v>99</v>
      </c>
      <c r="AA537" s="11">
        <f t="shared" si="48"/>
        <v>0</v>
      </c>
      <c r="AB537" t="s">
        <v>127</v>
      </c>
      <c r="AE537" t="s">
        <v>872</v>
      </c>
      <c r="AF537" t="s">
        <v>99</v>
      </c>
      <c r="AG537" s="11">
        <f t="shared" si="49"/>
        <v>0</v>
      </c>
      <c r="AH537" t="s">
        <v>127</v>
      </c>
    </row>
    <row r="538" spans="7:34" x14ac:dyDescent="0.2">
      <c r="G538" t="s">
        <v>86</v>
      </c>
      <c r="H538" t="s">
        <v>6</v>
      </c>
      <c r="I538">
        <f>SUMIFS('CompilationCalcs - EPA EOL'!$G$4:$G$264,'CompilationCalcs - EPA EOL'!$F$4:$F$264,dataforsankey!$H538,'CompilationCalcs - EPA EOL'!$A$4:$A$264,dataforsankey!$J538,'CompilationCalcs - EPA EOL'!$B$4:$B$264,dataforsankey!$G538)</f>
        <v>0</v>
      </c>
      <c r="J538" t="s">
        <v>82</v>
      </c>
      <c r="M538" t="str">
        <f>'CompilationCalcs - Di et al.EOL'!A448</f>
        <v>Polyamide nylon</v>
      </c>
      <c r="N538" t="str">
        <f>'CompilationCalcs - Di et al.EOL'!C448</f>
        <v>Other End Use Markets</v>
      </c>
      <c r="O538" s="11">
        <f>SUMIFS('CompilationCalcs - Di et al.EOL'!$D$4:$D$544,'CompilationCalcs - Di et al.EOL'!$A$4:$A$544,dataforsankey!$M538,'CompilationCalcs - Di et al.EOL'!$C$4:$C$544,$N538)</f>
        <v>0.6</v>
      </c>
      <c r="P538" t="str">
        <f t="shared" si="47"/>
        <v>Polyamide nylon</v>
      </c>
      <c r="S538" t="s">
        <v>891</v>
      </c>
      <c r="T538" t="s">
        <v>38</v>
      </c>
      <c r="U538" s="11">
        <f t="shared" si="50"/>
        <v>0</v>
      </c>
      <c r="V538" t="s">
        <v>127</v>
      </c>
      <c r="Y538" t="s">
        <v>872</v>
      </c>
      <c r="Z538" t="s">
        <v>69</v>
      </c>
      <c r="AA538" s="11">
        <f t="shared" si="48"/>
        <v>0</v>
      </c>
      <c r="AB538" t="s">
        <v>127</v>
      </c>
      <c r="AE538" t="s">
        <v>872</v>
      </c>
      <c r="AF538" t="s">
        <v>69</v>
      </c>
      <c r="AG538" s="11">
        <f t="shared" si="49"/>
        <v>0</v>
      </c>
      <c r="AH538" t="s">
        <v>127</v>
      </c>
    </row>
    <row r="539" spans="7:34" x14ac:dyDescent="0.2">
      <c r="M539" t="str">
        <f>'CompilationCalcs - Di et al.EOL'!A449</f>
        <v>Polyamide nylon</v>
      </c>
      <c r="N539" t="str">
        <f>'CompilationCalcs - Di et al.EOL'!C449</f>
        <v>Exports</v>
      </c>
      <c r="O539" s="11">
        <f>SUMIFS('CompilationCalcs - Di et al.EOL'!$D$4:$D$544,'CompilationCalcs - Di et al.EOL'!$A$4:$A$544,dataforsankey!$M539,'CompilationCalcs - Di et al.EOL'!$C$4:$C$544,$N539)</f>
        <v>0</v>
      </c>
      <c r="P539" t="str">
        <f t="shared" si="47"/>
        <v>Polyamide nylon</v>
      </c>
      <c r="S539" t="s">
        <v>891</v>
      </c>
      <c r="T539" t="s">
        <v>99</v>
      </c>
      <c r="U539" s="11">
        <f t="shared" si="50"/>
        <v>0</v>
      </c>
      <c r="V539" t="s">
        <v>127</v>
      </c>
      <c r="Y539" t="s">
        <v>872</v>
      </c>
      <c r="Z539" t="s">
        <v>100</v>
      </c>
      <c r="AA539" s="11">
        <f t="shared" si="48"/>
        <v>0</v>
      </c>
      <c r="AB539" t="s">
        <v>127</v>
      </c>
      <c r="AE539" t="s">
        <v>872</v>
      </c>
      <c r="AF539" t="s">
        <v>100</v>
      </c>
      <c r="AG539" s="11">
        <f t="shared" si="49"/>
        <v>0</v>
      </c>
      <c r="AH539" t="s">
        <v>127</v>
      </c>
    </row>
    <row r="540" spans="7:34" x14ac:dyDescent="0.2">
      <c r="M540" t="str">
        <f>'CompilationCalcs - Di et al.EOL'!A474</f>
        <v>Polycarbonate</v>
      </c>
      <c r="N540" t="str">
        <f>'CompilationCalcs - Di et al.EOL'!C474</f>
        <v>Building and Construction</v>
      </c>
      <c r="O540" s="11">
        <f>SUMIFS('CompilationCalcs - Di et al.EOL'!$D$4:$D$544,'CompilationCalcs - Di et al.EOL'!$A$4:$A$544,dataforsankey!$M540,'CompilationCalcs - Di et al.EOL'!$C$4:$C$544,$N540)</f>
        <v>0.7876389212160001</v>
      </c>
      <c r="P540" t="str">
        <f>M540</f>
        <v>Polycarbonate</v>
      </c>
      <c r="S540" t="s">
        <v>891</v>
      </c>
      <c r="T540" t="s">
        <v>69</v>
      </c>
      <c r="U540" s="11">
        <f t="shared" si="50"/>
        <v>0</v>
      </c>
      <c r="V540" t="s">
        <v>127</v>
      </c>
      <c r="Y540" t="s">
        <v>872</v>
      </c>
      <c r="Z540" t="s">
        <v>39</v>
      </c>
      <c r="AA540" s="11">
        <f t="shared" si="48"/>
        <v>0</v>
      </c>
      <c r="AB540" t="s">
        <v>127</v>
      </c>
      <c r="AE540" t="s">
        <v>872</v>
      </c>
      <c r="AF540" t="s">
        <v>39</v>
      </c>
      <c r="AG540" s="11">
        <f t="shared" si="49"/>
        <v>0</v>
      </c>
      <c r="AH540" t="s">
        <v>127</v>
      </c>
    </row>
    <row r="541" spans="7:34" x14ac:dyDescent="0.2">
      <c r="M541" t="str">
        <f>'CompilationCalcs - Di et al.EOL'!A475</f>
        <v>Polycarbonate</v>
      </c>
      <c r="N541" t="str">
        <f>'CompilationCalcs - Di et al.EOL'!C475</f>
        <v>Furniture and Furnishings</v>
      </c>
      <c r="O541" s="11">
        <f>SUMIFS('CompilationCalcs - Di et al.EOL'!$D$4:$D$544,'CompilationCalcs - Di et al.EOL'!$A$4:$A$544,dataforsankey!$M541,'CompilationCalcs - Di et al.EOL'!$C$4:$C$544,$N541)</f>
        <v>0</v>
      </c>
      <c r="P541" t="str">
        <f t="shared" ref="P541:P550" si="51">M541</f>
        <v>Polycarbonate</v>
      </c>
      <c r="S541" t="s">
        <v>891</v>
      </c>
      <c r="T541" t="s">
        <v>100</v>
      </c>
      <c r="U541" s="11">
        <f t="shared" si="50"/>
        <v>0</v>
      </c>
      <c r="V541" t="s">
        <v>127</v>
      </c>
      <c r="Y541" t="s">
        <v>872</v>
      </c>
      <c r="Z541" t="s">
        <v>68</v>
      </c>
      <c r="AA541" s="11">
        <f t="shared" si="48"/>
        <v>0</v>
      </c>
      <c r="AB541" t="s">
        <v>127</v>
      </c>
      <c r="AE541" t="s">
        <v>872</v>
      </c>
      <c r="AF541" t="s">
        <v>68</v>
      </c>
      <c r="AG541" s="11">
        <f t="shared" si="49"/>
        <v>0</v>
      </c>
      <c r="AH541" t="s">
        <v>127</v>
      </c>
    </row>
    <row r="542" spans="7:34" x14ac:dyDescent="0.2">
      <c r="M542" t="str">
        <f>'CompilationCalcs - Di et al.EOL'!A476</f>
        <v>Polycarbonate</v>
      </c>
      <c r="N542" t="str">
        <f>'CompilationCalcs - Di et al.EOL'!C476</f>
        <v>Transportation</v>
      </c>
      <c r="O542" s="11">
        <f>SUMIFS('CompilationCalcs - Di et al.EOL'!$D$4:$D$544,'CompilationCalcs - Di et al.EOL'!$A$4:$A$544,dataforsankey!$M542,'CompilationCalcs - Di et al.EOL'!$C$4:$C$544,$N542)</f>
        <v>0.7876389212160001</v>
      </c>
      <c r="P542" t="str">
        <f t="shared" si="51"/>
        <v>Polycarbonate</v>
      </c>
      <c r="S542" t="s">
        <v>891</v>
      </c>
      <c r="T542" t="s">
        <v>39</v>
      </c>
      <c r="U542" s="11">
        <f t="shared" si="50"/>
        <v>0</v>
      </c>
      <c r="V542" t="s">
        <v>127</v>
      </c>
      <c r="Y542" t="s">
        <v>872</v>
      </c>
      <c r="Z542" t="s">
        <v>63</v>
      </c>
      <c r="AA542" s="11">
        <f t="shared" si="48"/>
        <v>0</v>
      </c>
      <c r="AB542" t="s">
        <v>127</v>
      </c>
      <c r="AE542" t="s">
        <v>872</v>
      </c>
      <c r="AF542" t="s">
        <v>63</v>
      </c>
      <c r="AG542" s="11">
        <f t="shared" si="49"/>
        <v>0</v>
      </c>
      <c r="AH542" t="s">
        <v>127</v>
      </c>
    </row>
    <row r="543" spans="7:34" x14ac:dyDescent="0.2">
      <c r="M543" t="str">
        <f>'CompilationCalcs - Di et al.EOL'!A477</f>
        <v>Polycarbonate</v>
      </c>
      <c r="N543" t="str">
        <f>'CompilationCalcs - Di et al.EOL'!C477</f>
        <v>Industrial/Machinery</v>
      </c>
      <c r="O543" s="11">
        <f>SUMIFS('CompilationCalcs - Di et al.EOL'!$D$4:$D$544,'CompilationCalcs - Di et al.EOL'!$A$4:$A$544,dataforsankey!$M543,'CompilationCalcs - Di et al.EOL'!$C$4:$C$544,$N543)</f>
        <v>0</v>
      </c>
      <c r="P543" t="str">
        <f t="shared" si="51"/>
        <v>Polycarbonate</v>
      </c>
      <c r="S543" t="s">
        <v>891</v>
      </c>
      <c r="T543" t="s">
        <v>68</v>
      </c>
      <c r="U543" s="11">
        <f t="shared" si="50"/>
        <v>0</v>
      </c>
      <c r="V543" t="s">
        <v>127</v>
      </c>
      <c r="Y543" t="s">
        <v>872</v>
      </c>
      <c r="Z543" t="s">
        <v>92</v>
      </c>
      <c r="AA543" s="11">
        <f t="shared" si="48"/>
        <v>0</v>
      </c>
      <c r="AB543" t="s">
        <v>127</v>
      </c>
      <c r="AE543" t="s">
        <v>872</v>
      </c>
      <c r="AF543" t="s">
        <v>92</v>
      </c>
      <c r="AG543" s="11">
        <f t="shared" si="49"/>
        <v>0</v>
      </c>
      <c r="AH543" t="s">
        <v>127</v>
      </c>
    </row>
    <row r="544" spans="7:34" x14ac:dyDescent="0.2">
      <c r="M544" t="str">
        <f>'CompilationCalcs - Di et al.EOL'!A478</f>
        <v>Polycarbonate</v>
      </c>
      <c r="N544" t="str">
        <f>'CompilationCalcs - Di et al.EOL'!C478</f>
        <v>Packaging</v>
      </c>
      <c r="O544" s="11">
        <f>SUMIFS('CompilationCalcs - Di et al.EOL'!$D$4:$D$544,'CompilationCalcs - Di et al.EOL'!$A$4:$A$544,dataforsankey!$M544,'CompilationCalcs - Di et al.EOL'!$C$4:$C$544,$N544)</f>
        <v>0.19690973030400002</v>
      </c>
      <c r="P544" t="str">
        <f t="shared" si="51"/>
        <v>Polycarbonate</v>
      </c>
      <c r="S544" t="s">
        <v>891</v>
      </c>
      <c r="T544" t="s">
        <v>63</v>
      </c>
      <c r="U544" s="11">
        <f t="shared" si="50"/>
        <v>0</v>
      </c>
      <c r="V544" t="s">
        <v>127</v>
      </c>
      <c r="Y544" t="s">
        <v>872</v>
      </c>
      <c r="Z544" t="s">
        <v>103</v>
      </c>
      <c r="AA544" s="11">
        <f t="shared" si="48"/>
        <v>0</v>
      </c>
      <c r="AB544" t="s">
        <v>127</v>
      </c>
      <c r="AE544" t="s">
        <v>872</v>
      </c>
      <c r="AF544" t="s">
        <v>103</v>
      </c>
      <c r="AG544" s="11">
        <f t="shared" si="49"/>
        <v>0</v>
      </c>
      <c r="AH544" t="s">
        <v>127</v>
      </c>
    </row>
    <row r="545" spans="13:34" x14ac:dyDescent="0.2">
      <c r="M545" t="str">
        <f>'CompilationCalcs - Di et al.EOL'!A479</f>
        <v>Polycarbonate</v>
      </c>
      <c r="N545" t="str">
        <f>'CompilationCalcs - Di et al.EOL'!C479</f>
        <v>Electrical/Electronic</v>
      </c>
      <c r="O545" s="11">
        <f>SUMIFS('CompilationCalcs - Di et al.EOL'!$D$4:$D$544,'CompilationCalcs - Di et al.EOL'!$A$4:$A$544,dataforsankey!$M545,'CompilationCalcs - Di et al.EOL'!$C$4:$C$544,$N545)</f>
        <v>0.98454865152000004</v>
      </c>
      <c r="P545" t="str">
        <f t="shared" si="51"/>
        <v>Polycarbonate</v>
      </c>
      <c r="S545" t="s">
        <v>891</v>
      </c>
      <c r="T545" t="s">
        <v>92</v>
      </c>
      <c r="U545" s="11">
        <f t="shared" si="50"/>
        <v>0</v>
      </c>
      <c r="V545" t="s">
        <v>127</v>
      </c>
      <c r="Y545" t="s">
        <v>872</v>
      </c>
      <c r="Z545" t="s">
        <v>86</v>
      </c>
      <c r="AA545" s="11">
        <f t="shared" si="48"/>
        <v>0</v>
      </c>
      <c r="AB545" t="s">
        <v>127</v>
      </c>
      <c r="AE545" t="s">
        <v>872</v>
      </c>
      <c r="AF545" t="s">
        <v>86</v>
      </c>
      <c r="AG545" s="11">
        <f t="shared" si="49"/>
        <v>0</v>
      </c>
      <c r="AH545" t="s">
        <v>127</v>
      </c>
    </row>
    <row r="546" spans="13:34" x14ac:dyDescent="0.2">
      <c r="M546" t="str">
        <f>'CompilationCalcs - Di et al.EOL'!A480</f>
        <v>Polycarbonate</v>
      </c>
      <c r="N546" t="str">
        <f>'CompilationCalcs - Di et al.EOL'!C480</f>
        <v>Consumer and Institutional</v>
      </c>
      <c r="O546" s="11">
        <f>SUMIFS('CompilationCalcs - Di et al.EOL'!$D$4:$D$544,'CompilationCalcs - Di et al.EOL'!$A$4:$A$544,dataforsankey!$M546,'CompilationCalcs - Di et al.EOL'!$C$4:$C$544,$N546)</f>
        <v>0.19690973030400002</v>
      </c>
      <c r="P546" t="str">
        <f t="shared" si="51"/>
        <v>Polycarbonate</v>
      </c>
      <c r="S546" t="s">
        <v>891</v>
      </c>
      <c r="T546" t="s">
        <v>103</v>
      </c>
      <c r="U546" s="11">
        <f t="shared" si="50"/>
        <v>0</v>
      </c>
      <c r="V546" t="s">
        <v>127</v>
      </c>
      <c r="Y546" t="s">
        <v>872</v>
      </c>
      <c r="Z546" t="s">
        <v>18</v>
      </c>
      <c r="AA546" s="11">
        <f t="shared" si="48"/>
        <v>0</v>
      </c>
      <c r="AB546" t="s">
        <v>127</v>
      </c>
      <c r="AE546" t="s">
        <v>872</v>
      </c>
      <c r="AF546" t="s">
        <v>18</v>
      </c>
      <c r="AG546" s="11">
        <f t="shared" si="49"/>
        <v>0</v>
      </c>
      <c r="AH546" t="s">
        <v>127</v>
      </c>
    </row>
    <row r="547" spans="13:34" x14ac:dyDescent="0.2">
      <c r="M547" t="str">
        <f>'CompilationCalcs - Di et al.EOL'!A481</f>
        <v>Polycarbonate</v>
      </c>
      <c r="N547" t="str">
        <f>'CompilationCalcs - Di et al.EOL'!C481</f>
        <v>Adhesives/Inks/Coatings</v>
      </c>
      <c r="O547" s="11">
        <f>SUMIFS('CompilationCalcs - Di et al.EOL'!$D$4:$D$544,'CompilationCalcs - Di et al.EOL'!$A$4:$A$544,dataforsankey!$M547,'CompilationCalcs - Di et al.EOL'!$C$4:$C$544,$N547)</f>
        <v>0</v>
      </c>
      <c r="P547" t="str">
        <f t="shared" si="51"/>
        <v>Polycarbonate</v>
      </c>
      <c r="S547" t="s">
        <v>891</v>
      </c>
      <c r="T547" t="s">
        <v>86</v>
      </c>
      <c r="U547" s="11">
        <f t="shared" si="50"/>
        <v>0</v>
      </c>
      <c r="V547" t="s">
        <v>127</v>
      </c>
      <c r="Y547" t="s">
        <v>872</v>
      </c>
      <c r="Z547" t="s">
        <v>38</v>
      </c>
      <c r="AA547" s="11">
        <f t="shared" si="48"/>
        <v>3.6572862708552097E-2</v>
      </c>
      <c r="AB547" t="s">
        <v>8</v>
      </c>
      <c r="AE547" t="s">
        <v>872</v>
      </c>
      <c r="AF547" t="s">
        <v>38</v>
      </c>
      <c r="AG547" s="11">
        <f t="shared" si="49"/>
        <v>3.6572862708552097E-2</v>
      </c>
      <c r="AH547" t="s">
        <v>8</v>
      </c>
    </row>
    <row r="548" spans="13:34" x14ac:dyDescent="0.2">
      <c r="M548" t="str">
        <f>'CompilationCalcs - Di et al.EOL'!A482</f>
        <v>Polycarbonate</v>
      </c>
      <c r="N548" t="str">
        <f>'CompilationCalcs - Di et al.EOL'!C482</f>
        <v>Textiles, Fibers and Apparel</v>
      </c>
      <c r="O548" s="11">
        <f>SUMIFS('CompilationCalcs - Di et al.EOL'!$D$4:$D$544,'CompilationCalcs - Di et al.EOL'!$A$4:$A$544,dataforsankey!$M548,'CompilationCalcs - Di et al.EOL'!$C$4:$C$544,$N548)</f>
        <v>0</v>
      </c>
      <c r="P548" t="str">
        <f t="shared" si="51"/>
        <v>Polycarbonate</v>
      </c>
      <c r="S548" t="s">
        <v>891</v>
      </c>
      <c r="T548" t="s">
        <v>18</v>
      </c>
      <c r="U548" s="11">
        <f t="shared" si="50"/>
        <v>0</v>
      </c>
      <c r="V548" t="s">
        <v>127</v>
      </c>
      <c r="Y548" t="s">
        <v>872</v>
      </c>
      <c r="Z548" t="s">
        <v>99</v>
      </c>
      <c r="AA548" s="11">
        <f t="shared" si="48"/>
        <v>3.6572862708552097E-2</v>
      </c>
      <c r="AB548" t="s">
        <v>8</v>
      </c>
      <c r="AE548" t="s">
        <v>872</v>
      </c>
      <c r="AF548" t="s">
        <v>99</v>
      </c>
      <c r="AG548" s="11">
        <f t="shared" si="49"/>
        <v>3.6572862708552097E-2</v>
      </c>
      <c r="AH548" t="s">
        <v>8</v>
      </c>
    </row>
    <row r="549" spans="13:34" x14ac:dyDescent="0.2">
      <c r="M549" t="str">
        <f>'CompilationCalcs - Di et al.EOL'!A483</f>
        <v>Polycarbonate</v>
      </c>
      <c r="N549" t="str">
        <f>'CompilationCalcs - Di et al.EOL'!C483</f>
        <v>Other End Use Markets</v>
      </c>
      <c r="O549" s="11">
        <f>SUMIFS('CompilationCalcs - Di et al.EOL'!$D$4:$D$544,'CompilationCalcs - Di et al.EOL'!$A$4:$A$544,dataforsankey!$M549,'CompilationCalcs - Di et al.EOL'!$C$4:$C$544,$N549)</f>
        <v>0.98454865152000004</v>
      </c>
      <c r="P549" t="str">
        <f t="shared" si="51"/>
        <v>Polycarbonate</v>
      </c>
      <c r="S549" t="s">
        <v>891</v>
      </c>
      <c r="T549" t="s">
        <v>38</v>
      </c>
      <c r="U549" s="11">
        <f t="shared" si="50"/>
        <v>0</v>
      </c>
      <c r="V549" t="s">
        <v>8</v>
      </c>
      <c r="Y549" t="s">
        <v>872</v>
      </c>
      <c r="Z549" t="s">
        <v>69</v>
      </c>
      <c r="AA549" s="11">
        <f t="shared" si="48"/>
        <v>3.6572862708552097E-2</v>
      </c>
      <c r="AB549" t="s">
        <v>8</v>
      </c>
      <c r="AE549" t="s">
        <v>872</v>
      </c>
      <c r="AF549" t="s">
        <v>69</v>
      </c>
      <c r="AG549" s="11">
        <f t="shared" si="49"/>
        <v>3.6572862708552097E-2</v>
      </c>
      <c r="AH549" t="s">
        <v>8</v>
      </c>
    </row>
    <row r="550" spans="13:34" x14ac:dyDescent="0.2">
      <c r="M550" t="str">
        <f>'CompilationCalcs - Di et al.EOL'!A484</f>
        <v>Polycarbonate</v>
      </c>
      <c r="N550" t="str">
        <f>'CompilationCalcs - Di et al.EOL'!C484</f>
        <v>Exports</v>
      </c>
      <c r="O550" s="11">
        <f>SUMIFS('CompilationCalcs - Di et al.EOL'!$D$4:$D$544,'CompilationCalcs - Di et al.EOL'!$A$4:$A$544,dataforsankey!$M550,'CompilationCalcs - Di et al.EOL'!$C$4:$C$544,$N550)</f>
        <v>0</v>
      </c>
      <c r="P550" t="str">
        <f t="shared" si="51"/>
        <v>Polycarbonate</v>
      </c>
      <c r="S550" t="s">
        <v>891</v>
      </c>
      <c r="T550" t="s">
        <v>99</v>
      </c>
      <c r="U550" s="11">
        <f t="shared" si="50"/>
        <v>2.8605911705152989E-2</v>
      </c>
      <c r="V550" t="s">
        <v>8</v>
      </c>
      <c r="Y550" t="s">
        <v>872</v>
      </c>
      <c r="Z550" t="s">
        <v>100</v>
      </c>
      <c r="AA550" s="11">
        <f t="shared" si="48"/>
        <v>3.6572862708552097E-2</v>
      </c>
      <c r="AB550" t="s">
        <v>8</v>
      </c>
      <c r="AE550" t="s">
        <v>872</v>
      </c>
      <c r="AF550" t="s">
        <v>100</v>
      </c>
      <c r="AG550" s="11">
        <f t="shared" si="49"/>
        <v>3.6572862708552097E-2</v>
      </c>
      <c r="AH550" t="s">
        <v>8</v>
      </c>
    </row>
    <row r="551" spans="13:34" x14ac:dyDescent="0.2">
      <c r="M551" t="str">
        <f>'CompilationCalcs - Di et al.EOL'!A509</f>
        <v>Styrene butadiene rubber</v>
      </c>
      <c r="N551" t="str">
        <f>'CompilationCalcs - Di et al.EOL'!C509</f>
        <v>Building and Construction</v>
      </c>
      <c r="O551" s="11">
        <f>SUMIFS('CompilationCalcs - Di et al.EOL'!$D$4:$D$544,'CompilationCalcs - Di et al.EOL'!$A$4:$A$544,dataforsankey!$M551,'CompilationCalcs - Di et al.EOL'!$C$4:$C$544,$N551)</f>
        <v>0</v>
      </c>
      <c r="P551" t="str">
        <f t="shared" ref="P551:P561" si="52">M551</f>
        <v>Styrene butadiene rubber</v>
      </c>
      <c r="S551" t="s">
        <v>891</v>
      </c>
      <c r="T551" t="s">
        <v>69</v>
      </c>
      <c r="U551" s="11">
        <f t="shared" si="50"/>
        <v>5.9432378750283531E-2</v>
      </c>
      <c r="V551" t="s">
        <v>8</v>
      </c>
      <c r="Y551" t="s">
        <v>872</v>
      </c>
      <c r="Z551" t="s">
        <v>39</v>
      </c>
      <c r="AA551" s="11">
        <f t="shared" si="48"/>
        <v>3.6572862708552097E-2</v>
      </c>
      <c r="AB551" t="s">
        <v>8</v>
      </c>
      <c r="AE551" t="s">
        <v>872</v>
      </c>
      <c r="AF551" t="s">
        <v>39</v>
      </c>
      <c r="AG551" s="11">
        <f t="shared" si="49"/>
        <v>3.6572862708552097E-2</v>
      </c>
      <c r="AH551" t="s">
        <v>8</v>
      </c>
    </row>
    <row r="552" spans="13:34" x14ac:dyDescent="0.2">
      <c r="M552" t="str">
        <f>'CompilationCalcs - Di et al.EOL'!A510</f>
        <v>Styrene butadiene rubber</v>
      </c>
      <c r="N552" t="str">
        <f>'CompilationCalcs - Di et al.EOL'!C510</f>
        <v>Furniture and Furnishings</v>
      </c>
      <c r="O552" s="11">
        <f>SUMIFS('CompilationCalcs - Di et al.EOL'!$D$4:$D$544,'CompilationCalcs - Di et al.EOL'!$A$4:$A$544,dataforsankey!$M552,'CompilationCalcs - Di et al.EOL'!$C$4:$C$544,$N552)</f>
        <v>0</v>
      </c>
      <c r="P552" t="str">
        <f t="shared" si="52"/>
        <v>Styrene butadiene rubber</v>
      </c>
      <c r="S552" t="s">
        <v>891</v>
      </c>
      <c r="T552" t="s">
        <v>100</v>
      </c>
      <c r="U552" s="11">
        <f t="shared" si="50"/>
        <v>0</v>
      </c>
      <c r="V552" t="s">
        <v>8</v>
      </c>
      <c r="Y552" t="s">
        <v>872</v>
      </c>
      <c r="Z552" t="s">
        <v>68</v>
      </c>
      <c r="AA552" s="11">
        <f t="shared" si="48"/>
        <v>3.6572862708552097E-2</v>
      </c>
      <c r="AB552" t="s">
        <v>8</v>
      </c>
      <c r="AE552" t="s">
        <v>872</v>
      </c>
      <c r="AF552" t="s">
        <v>68</v>
      </c>
      <c r="AG552" s="11">
        <f t="shared" si="49"/>
        <v>3.6572862708552097E-2</v>
      </c>
      <c r="AH552" t="s">
        <v>8</v>
      </c>
    </row>
    <row r="553" spans="13:34" x14ac:dyDescent="0.2">
      <c r="M553" t="str">
        <f>'CompilationCalcs - Di et al.EOL'!A511</f>
        <v>Styrene butadiene rubber</v>
      </c>
      <c r="N553" t="str">
        <f>'CompilationCalcs - Di et al.EOL'!C511</f>
        <v>Transportation</v>
      </c>
      <c r="O553" s="11">
        <f>SUMIFS('CompilationCalcs - Di et al.EOL'!$D$4:$D$544,'CompilationCalcs - Di et al.EOL'!$A$4:$A$544,dataforsankey!$M553,'CompilationCalcs - Di et al.EOL'!$C$4:$C$544,$N553)</f>
        <v>0.71733936607132809</v>
      </c>
      <c r="P553" t="str">
        <f t="shared" si="52"/>
        <v>Styrene butadiene rubber</v>
      </c>
      <c r="S553" t="s">
        <v>891</v>
      </c>
      <c r="T553" t="s">
        <v>39</v>
      </c>
      <c r="U553" s="11">
        <f t="shared" si="50"/>
        <v>4.6433292373061784E-2</v>
      </c>
      <c r="V553" t="s">
        <v>8</v>
      </c>
      <c r="Y553" t="s">
        <v>872</v>
      </c>
      <c r="Z553" t="s">
        <v>63</v>
      </c>
      <c r="AA553" s="11">
        <f t="shared" si="48"/>
        <v>3.6572862708552097E-2</v>
      </c>
      <c r="AB553" t="s">
        <v>8</v>
      </c>
      <c r="AE553" t="s">
        <v>872</v>
      </c>
      <c r="AF553" t="s">
        <v>63</v>
      </c>
      <c r="AG553" s="11">
        <f t="shared" si="49"/>
        <v>3.6572862708552097E-2</v>
      </c>
      <c r="AH553" t="s">
        <v>8</v>
      </c>
    </row>
    <row r="554" spans="13:34" x14ac:dyDescent="0.2">
      <c r="M554" t="str">
        <f>'CompilationCalcs - Di et al.EOL'!A512</f>
        <v>Styrene butadiene rubber</v>
      </c>
      <c r="N554" t="str">
        <f>'CompilationCalcs - Di et al.EOL'!C512</f>
        <v>Industrial/Machinery</v>
      </c>
      <c r="O554" s="11">
        <f>SUMIFS('CompilationCalcs - Di et al.EOL'!$D$4:$D$544,'CompilationCalcs - Di et al.EOL'!$A$4:$A$544,dataforsankey!$M554,'CompilationCalcs - Di et al.EOL'!$C$4:$C$544,$N554)</f>
        <v>0</v>
      </c>
      <c r="P554" t="str">
        <f t="shared" si="52"/>
        <v>Styrene butadiene rubber</v>
      </c>
      <c r="S554" t="s">
        <v>891</v>
      </c>
      <c r="T554" t="s">
        <v>68</v>
      </c>
      <c r="U554" s="11">
        <f t="shared" si="50"/>
        <v>7.5895499454359902E-2</v>
      </c>
      <c r="V554" t="s">
        <v>8</v>
      </c>
      <c r="Y554" t="s">
        <v>872</v>
      </c>
      <c r="Z554" t="s">
        <v>92</v>
      </c>
      <c r="AA554" s="11">
        <f t="shared" si="48"/>
        <v>3.6572862708552097E-2</v>
      </c>
      <c r="AB554" t="s">
        <v>8</v>
      </c>
      <c r="AE554" t="s">
        <v>872</v>
      </c>
      <c r="AF554" t="s">
        <v>92</v>
      </c>
      <c r="AG554" s="11">
        <f t="shared" si="49"/>
        <v>3.6572862708552097E-2</v>
      </c>
      <c r="AH554" t="s">
        <v>8</v>
      </c>
    </row>
    <row r="555" spans="13:34" x14ac:dyDescent="0.2">
      <c r="M555" t="str">
        <f>'CompilationCalcs - Di et al.EOL'!A513</f>
        <v>Styrene butadiene rubber</v>
      </c>
      <c r="N555" t="str">
        <f>'CompilationCalcs - Di et al.EOL'!C513</f>
        <v>Packaging</v>
      </c>
      <c r="O555" s="11">
        <f>SUMIFS('CompilationCalcs - Di et al.EOL'!$D$4:$D$544,'CompilationCalcs - Di et al.EOL'!$A$4:$A$544,dataforsankey!$M555,'CompilationCalcs - Di et al.EOL'!$C$4:$C$544,$N555)</f>
        <v>0</v>
      </c>
      <c r="P555" t="str">
        <f t="shared" si="52"/>
        <v>Styrene butadiene rubber</v>
      </c>
      <c r="S555" t="s">
        <v>891</v>
      </c>
      <c r="T555" t="s">
        <v>63</v>
      </c>
      <c r="U555" s="11">
        <f t="shared" si="50"/>
        <v>2.8476796828855868E-2</v>
      </c>
      <c r="V555" t="s">
        <v>8</v>
      </c>
      <c r="Y555" t="s">
        <v>872</v>
      </c>
      <c r="Z555" t="s">
        <v>103</v>
      </c>
      <c r="AA555" s="11">
        <f t="shared" si="48"/>
        <v>0</v>
      </c>
      <c r="AB555" t="s">
        <v>8</v>
      </c>
      <c r="AE555" t="s">
        <v>872</v>
      </c>
      <c r="AF555" t="s">
        <v>103</v>
      </c>
      <c r="AG555" s="11">
        <f t="shared" si="49"/>
        <v>0</v>
      </c>
      <c r="AH555" t="s">
        <v>8</v>
      </c>
    </row>
    <row r="556" spans="13:34" x14ac:dyDescent="0.2">
      <c r="M556" t="str">
        <f>'CompilationCalcs - Di et al.EOL'!A514</f>
        <v>Styrene butadiene rubber</v>
      </c>
      <c r="N556" t="str">
        <f>'CompilationCalcs - Di et al.EOL'!C514</f>
        <v>Electrical/Electronic</v>
      </c>
      <c r="O556" s="11">
        <f>SUMIFS('CompilationCalcs - Di et al.EOL'!$D$4:$D$544,'CompilationCalcs - Di et al.EOL'!$A$4:$A$544,dataforsankey!$M556,'CompilationCalcs - Di et al.EOL'!$C$4:$C$544,$N556)</f>
        <v>0</v>
      </c>
      <c r="P556" t="str">
        <f t="shared" si="52"/>
        <v>Styrene butadiene rubber</v>
      </c>
      <c r="S556" t="s">
        <v>891</v>
      </c>
      <c r="T556" t="s">
        <v>92</v>
      </c>
      <c r="U556" s="11">
        <f t="shared" si="50"/>
        <v>0</v>
      </c>
      <c r="V556" t="s">
        <v>8</v>
      </c>
      <c r="Y556" t="s">
        <v>872</v>
      </c>
      <c r="Z556" t="s">
        <v>86</v>
      </c>
      <c r="AA556" s="11">
        <f t="shared" si="48"/>
        <v>3.6572862708552097E-2</v>
      </c>
      <c r="AB556" t="s">
        <v>8</v>
      </c>
      <c r="AE556" t="s">
        <v>872</v>
      </c>
      <c r="AF556" t="s">
        <v>86</v>
      </c>
      <c r="AG556" s="11">
        <f t="shared" si="49"/>
        <v>3.6572862708552097E-2</v>
      </c>
      <c r="AH556" t="s">
        <v>8</v>
      </c>
    </row>
    <row r="557" spans="13:34" x14ac:dyDescent="0.2">
      <c r="M557" t="str">
        <f>'CompilationCalcs - Di et al.EOL'!A515</f>
        <v>Styrene butadiene rubber</v>
      </c>
      <c r="N557" t="str">
        <f>'CompilationCalcs - Di et al.EOL'!C515</f>
        <v>Consumer and Institutional</v>
      </c>
      <c r="O557" s="11">
        <f>SUMIFS('CompilationCalcs - Di et al.EOL'!$D$4:$D$544,'CompilationCalcs - Di et al.EOL'!$A$4:$A$544,dataforsankey!$M557,'CompilationCalcs - Di et al.EOL'!$C$4:$C$544,$N557)</f>
        <v>0</v>
      </c>
      <c r="P557" t="str">
        <f t="shared" si="52"/>
        <v>Styrene butadiene rubber</v>
      </c>
      <c r="S557" t="s">
        <v>891</v>
      </c>
      <c r="T557" t="s">
        <v>103</v>
      </c>
      <c r="U557" s="11">
        <f t="shared" si="50"/>
        <v>0</v>
      </c>
      <c r="V557" t="s">
        <v>8</v>
      </c>
      <c r="Y557" t="s">
        <v>872</v>
      </c>
      <c r="Z557" t="s">
        <v>18</v>
      </c>
      <c r="AA557" s="11">
        <f t="shared" si="48"/>
        <v>3.6572862708552097E-2</v>
      </c>
      <c r="AB557" t="s">
        <v>8</v>
      </c>
      <c r="AE557" t="s">
        <v>872</v>
      </c>
      <c r="AF557" t="s">
        <v>18</v>
      </c>
      <c r="AG557" s="11">
        <f t="shared" si="49"/>
        <v>3.6572862708552097E-2</v>
      </c>
      <c r="AH557" t="s">
        <v>8</v>
      </c>
    </row>
    <row r="558" spans="13:34" x14ac:dyDescent="0.2">
      <c r="M558" t="str">
        <f>'CompilationCalcs - Di et al.EOL'!A516</f>
        <v>Styrene butadiene rubber</v>
      </c>
      <c r="N558" t="str">
        <f>'CompilationCalcs - Di et al.EOL'!C516</f>
        <v>Adhesives/Inks/Coatings</v>
      </c>
      <c r="O558" s="11">
        <f>SUMIFS('CompilationCalcs - Di et al.EOL'!$D$4:$D$544,'CompilationCalcs - Di et al.EOL'!$A$4:$A$544,dataforsankey!$M558,'CompilationCalcs - Di et al.EOL'!$C$4:$C$544,$N558)</f>
        <v>6.2299944944160003E-2</v>
      </c>
      <c r="P558" t="str">
        <f t="shared" si="52"/>
        <v>Styrene butadiene rubber</v>
      </c>
      <c r="S558" t="s">
        <v>891</v>
      </c>
      <c r="T558" t="s">
        <v>86</v>
      </c>
      <c r="U558" s="11">
        <f t="shared" si="50"/>
        <v>0</v>
      </c>
      <c r="V558" t="s">
        <v>8</v>
      </c>
      <c r="Y558" t="s">
        <v>872</v>
      </c>
      <c r="Z558" t="s">
        <v>38</v>
      </c>
      <c r="AA558" s="11">
        <f t="shared" si="48"/>
        <v>4.4622967636497122E-3</v>
      </c>
      <c r="AB558" t="s">
        <v>19</v>
      </c>
      <c r="AE558" t="s">
        <v>872</v>
      </c>
      <c r="AF558" t="s">
        <v>38</v>
      </c>
      <c r="AG558" s="11">
        <f t="shared" si="49"/>
        <v>4.4622967636497122E-3</v>
      </c>
      <c r="AH558" t="s">
        <v>19</v>
      </c>
    </row>
    <row r="559" spans="13:34" x14ac:dyDescent="0.2">
      <c r="M559" t="str">
        <f>'CompilationCalcs - Di et al.EOL'!A517</f>
        <v>Styrene butadiene rubber</v>
      </c>
      <c r="N559" t="str">
        <f>'CompilationCalcs - Di et al.EOL'!C517</f>
        <v>Textiles, Fibers and Apparel</v>
      </c>
      <c r="O559" s="11">
        <f>SUMIFS('CompilationCalcs - Di et al.EOL'!$D$4:$D$544,'CompilationCalcs - Di et al.EOL'!$A$4:$A$544,dataforsankey!$M559,'CompilationCalcs - Di et al.EOL'!$C$4:$C$544,$N559)</f>
        <v>0.10679990561856</v>
      </c>
      <c r="P559" t="str">
        <f t="shared" si="52"/>
        <v>Styrene butadiene rubber</v>
      </c>
      <c r="S559" t="s">
        <v>891</v>
      </c>
      <c r="T559" t="s">
        <v>18</v>
      </c>
      <c r="U559" s="11">
        <f t="shared" si="50"/>
        <v>0</v>
      </c>
      <c r="V559" t="s">
        <v>8</v>
      </c>
      <c r="Y559" t="s">
        <v>872</v>
      </c>
      <c r="Z559" t="s">
        <v>99</v>
      </c>
      <c r="AA559" s="11">
        <f t="shared" si="48"/>
        <v>4.4622967636497122E-3</v>
      </c>
      <c r="AB559" t="s">
        <v>19</v>
      </c>
      <c r="AE559" t="s">
        <v>872</v>
      </c>
      <c r="AF559" t="s">
        <v>99</v>
      </c>
      <c r="AG559" s="11">
        <f t="shared" si="49"/>
        <v>4.4622967636497122E-3</v>
      </c>
      <c r="AH559" t="s">
        <v>19</v>
      </c>
    </row>
    <row r="560" spans="13:34" x14ac:dyDescent="0.2">
      <c r="M560" t="str">
        <f>'CompilationCalcs - Di et al.EOL'!A518</f>
        <v>Styrene butadiene rubber</v>
      </c>
      <c r="N560" t="str">
        <f>'CompilationCalcs - Di et al.EOL'!C518</f>
        <v>Other End Use Markets</v>
      </c>
      <c r="O560" s="11">
        <f>SUMIFS('CompilationCalcs - Di et al.EOL'!$D$4:$D$544,'CompilationCalcs - Di et al.EOL'!$A$4:$A$544,dataforsankey!$M560,'CompilationCalcs - Di et al.EOL'!$C$4:$C$544,$N560)</f>
        <v>3.5599968539519041E-3</v>
      </c>
      <c r="P560" t="str">
        <f t="shared" si="52"/>
        <v>Styrene butadiene rubber</v>
      </c>
      <c r="S560" t="s">
        <v>891</v>
      </c>
      <c r="T560" t="s">
        <v>38</v>
      </c>
      <c r="U560" s="11">
        <f t="shared" si="50"/>
        <v>0</v>
      </c>
      <c r="V560" t="s">
        <v>19</v>
      </c>
      <c r="Y560" t="s">
        <v>872</v>
      </c>
      <c r="Z560" t="s">
        <v>69</v>
      </c>
      <c r="AA560" s="11">
        <f t="shared" si="48"/>
        <v>4.4622967636497122E-3</v>
      </c>
      <c r="AB560" t="s">
        <v>19</v>
      </c>
      <c r="AE560" t="s">
        <v>872</v>
      </c>
      <c r="AF560" t="s">
        <v>69</v>
      </c>
      <c r="AG560" s="11">
        <f t="shared" si="49"/>
        <v>4.4622967636497122E-3</v>
      </c>
      <c r="AH560" t="s">
        <v>19</v>
      </c>
    </row>
    <row r="561" spans="13:34" x14ac:dyDescent="0.2">
      <c r="M561" t="str">
        <f>'CompilationCalcs - Di et al.EOL'!A519</f>
        <v>Styrene butadiene rubber</v>
      </c>
      <c r="N561" t="str">
        <f>'CompilationCalcs - Di et al.EOL'!C519</f>
        <v>Exports</v>
      </c>
      <c r="O561" s="11">
        <f>SUMIFS('CompilationCalcs - Di et al.EOL'!$D$4:$D$544,'CompilationCalcs - Di et al.EOL'!$A$4:$A$544,dataforsankey!$M561,'CompilationCalcs - Di et al.EOL'!$C$4:$C$544,$N561)</f>
        <v>0</v>
      </c>
      <c r="P561" t="str">
        <f t="shared" si="52"/>
        <v>Styrene butadiene rubber</v>
      </c>
      <c r="S561" t="s">
        <v>891</v>
      </c>
      <c r="T561" t="s">
        <v>99</v>
      </c>
      <c r="U561" s="11">
        <f t="shared" si="50"/>
        <v>2.4821927167594179E-2</v>
      </c>
      <c r="V561" t="s">
        <v>19</v>
      </c>
      <c r="Y561" t="s">
        <v>872</v>
      </c>
      <c r="Z561" t="s">
        <v>100</v>
      </c>
      <c r="AA561" s="11">
        <f t="shared" si="48"/>
        <v>4.4622967636497122E-3</v>
      </c>
      <c r="AB561" t="s">
        <v>19</v>
      </c>
      <c r="AE561" t="s">
        <v>872</v>
      </c>
      <c r="AF561" t="s">
        <v>100</v>
      </c>
      <c r="AG561" s="11">
        <f t="shared" si="49"/>
        <v>4.4622967636497122E-3</v>
      </c>
      <c r="AH561" t="s">
        <v>19</v>
      </c>
    </row>
    <row r="562" spans="13:34" x14ac:dyDescent="0.2">
      <c r="M562" t="s">
        <v>38</v>
      </c>
      <c r="N562" s="11" t="str">
        <f>IF($M562=PlasticsUse!$D$93,Conversions!$A$17,IF($M562=PlasticsUse!$L$93,Conversions!$A$18,Conversions!$A$16))</f>
        <v>Transfer Station</v>
      </c>
      <c r="O562" s="11">
        <f>SUMIFS('CompilationCalcs - Di et al.EOL'!$F$4:$F$544,'CompilationCalcs - Di et al.EOL'!$C$4:$C$544,dataforsankey!$M562,'CompilationCalcs - Di et al.EOL'!$E$4:$E$544,$N562,'CompilationCalcs - Di et al.EOL'!$A$4:$A$544,dataforsankey!$P562)</f>
        <v>0.87609700427647264</v>
      </c>
      <c r="P562" t="s">
        <v>82</v>
      </c>
      <c r="S562" t="s">
        <v>891</v>
      </c>
      <c r="T562" t="s">
        <v>69</v>
      </c>
      <c r="U562" s="11">
        <f t="shared" si="50"/>
        <v>5.157067503884754E-2</v>
      </c>
      <c r="V562" t="s">
        <v>19</v>
      </c>
      <c r="Y562" t="s">
        <v>872</v>
      </c>
      <c r="Z562" t="s">
        <v>39</v>
      </c>
      <c r="AA562" s="11">
        <f t="shared" si="48"/>
        <v>4.4622967636497122E-3</v>
      </c>
      <c r="AB562" t="s">
        <v>19</v>
      </c>
      <c r="AE562" t="s">
        <v>872</v>
      </c>
      <c r="AF562" t="s">
        <v>39</v>
      </c>
      <c r="AG562" s="11">
        <f t="shared" si="49"/>
        <v>4.4622967636497122E-3</v>
      </c>
      <c r="AH562" t="s">
        <v>19</v>
      </c>
    </row>
    <row r="563" spans="13:34" x14ac:dyDescent="0.2">
      <c r="M563" t="s">
        <v>99</v>
      </c>
      <c r="N563" s="11" t="str">
        <f>IF($M563=PlasticsUse!$D$93,Conversions!$A$17,IF($M563=PlasticsUse!$L$93,Conversions!$A$18,Conversions!$A$16))</f>
        <v>Transfer Station</v>
      </c>
      <c r="O563" s="11">
        <f>SUMIFS('CompilationCalcs - Di et al.EOL'!$F$4:$F$544,'CompilationCalcs - Di et al.EOL'!$C$4:$C$544,dataforsankey!$M563,'CompilationCalcs - Di et al.EOL'!$E$4:$E$544,$N563,'CompilationCalcs - Di et al.EOL'!$A$4:$A$544,dataforsankey!$P563)</f>
        <v>2.1316939249435332</v>
      </c>
      <c r="P563" t="s">
        <v>82</v>
      </c>
      <c r="S563" t="s">
        <v>891</v>
      </c>
      <c r="T563" t="s">
        <v>100</v>
      </c>
      <c r="U563" s="11">
        <f t="shared" si="50"/>
        <v>0</v>
      </c>
      <c r="V563" t="s">
        <v>19</v>
      </c>
      <c r="Y563" t="s">
        <v>872</v>
      </c>
      <c r="Z563" t="s">
        <v>68</v>
      </c>
      <c r="AA563" s="11">
        <f t="shared" si="48"/>
        <v>4.4622967636497122E-3</v>
      </c>
      <c r="AB563" t="s">
        <v>19</v>
      </c>
      <c r="AE563" t="s">
        <v>872</v>
      </c>
      <c r="AF563" t="s">
        <v>68</v>
      </c>
      <c r="AG563" s="11">
        <f t="shared" si="49"/>
        <v>4.4622967636497122E-3</v>
      </c>
      <c r="AH563" t="s">
        <v>19</v>
      </c>
    </row>
    <row r="564" spans="13:34" x14ac:dyDescent="0.2">
      <c r="M564" t="s">
        <v>69</v>
      </c>
      <c r="N564" s="11" t="str">
        <f>IF($M564=PlasticsUse!$D$93,Conversions!$A$17,IF($M564=PlasticsUse!$L$93,Conversions!$A$18,Conversions!$A$16))</f>
        <v>Automotive Shredding Facility</v>
      </c>
      <c r="O564" s="11">
        <f>SUMIFS('CompilationCalcs - Di et al.EOL'!$F$4:$F$544,'CompilationCalcs - Di et al.EOL'!$C$4:$C$544,dataforsankey!$M564,'CompilationCalcs - Di et al.EOL'!$E$4:$E$544,$N564,'CompilationCalcs - Di et al.EOL'!$A$4:$A$544,dataforsankey!$P564)</f>
        <v>2.3115025971221326</v>
      </c>
      <c r="P564" t="s">
        <v>82</v>
      </c>
      <c r="S564" t="s">
        <v>891</v>
      </c>
      <c r="T564" t="s">
        <v>39</v>
      </c>
      <c r="U564" s="11">
        <f t="shared" si="50"/>
        <v>4.0291105325201942E-2</v>
      </c>
      <c r="V564" t="s">
        <v>19</v>
      </c>
      <c r="Y564" t="s">
        <v>872</v>
      </c>
      <c r="Z564" t="s">
        <v>63</v>
      </c>
      <c r="AA564" s="11">
        <f t="shared" si="48"/>
        <v>4.4622967636497122E-3</v>
      </c>
      <c r="AB564" t="s">
        <v>19</v>
      </c>
      <c r="AE564" t="s">
        <v>872</v>
      </c>
      <c r="AF564" t="s">
        <v>63</v>
      </c>
      <c r="AG564" s="11">
        <f t="shared" si="49"/>
        <v>4.4622967636497122E-3</v>
      </c>
      <c r="AH564" t="s">
        <v>19</v>
      </c>
    </row>
    <row r="565" spans="13:34" x14ac:dyDescent="0.2">
      <c r="M565" t="s">
        <v>100</v>
      </c>
      <c r="N565" s="11" t="str">
        <f>IF($M565=PlasticsUse!$D$93,Conversions!$A$17,IF($M565=PlasticsUse!$L$93,Conversions!$A$18,Conversions!$A$16))</f>
        <v>Transfer Station</v>
      </c>
      <c r="O565" s="11">
        <f>SUMIFS('CompilationCalcs - Di et al.EOL'!$F$4:$F$544,'CompilationCalcs - Di et al.EOL'!$C$4:$C$544,dataforsankey!$M565,'CompilationCalcs - Di et al.EOL'!$E$4:$E$544,$N565,'CompilationCalcs - Di et al.EOL'!$A$4:$A$544,dataforsankey!$P565)</f>
        <v>1.6969599654687759</v>
      </c>
      <c r="P565" t="s">
        <v>82</v>
      </c>
      <c r="S565" t="s">
        <v>891</v>
      </c>
      <c r="T565" t="s">
        <v>68</v>
      </c>
      <c r="U565" s="11">
        <f t="shared" si="50"/>
        <v>6.5856057280109348E-2</v>
      </c>
      <c r="V565" t="s">
        <v>19</v>
      </c>
      <c r="Y565" t="s">
        <v>872</v>
      </c>
      <c r="Z565" t="s">
        <v>92</v>
      </c>
      <c r="AA565" s="11">
        <f t="shared" si="48"/>
        <v>4.4622967636497122E-3</v>
      </c>
      <c r="AB565" t="s">
        <v>19</v>
      </c>
      <c r="AE565" t="s">
        <v>872</v>
      </c>
      <c r="AF565" t="s">
        <v>92</v>
      </c>
      <c r="AG565" s="11">
        <f t="shared" si="49"/>
        <v>4.4622967636497122E-3</v>
      </c>
      <c r="AH565" t="s">
        <v>19</v>
      </c>
    </row>
    <row r="566" spans="13:34" x14ac:dyDescent="0.2">
      <c r="M566" t="s">
        <v>39</v>
      </c>
      <c r="N566" s="11" t="str">
        <f>IF($M566=PlasticsUse!$D$93,Conversions!$A$17,IF($M566=PlasticsUse!$L$93,Conversions!$A$18,Conversions!$A$16))</f>
        <v>Transfer Station</v>
      </c>
      <c r="O566" s="11">
        <f>SUMIFS('CompilationCalcs - Di et al.EOL'!$F$4:$F$544,'CompilationCalcs - Di et al.EOL'!$C$4:$C$544,dataforsankey!$M566,'CompilationCalcs - Di et al.EOL'!$E$4:$E$544,$N566,'CompilationCalcs - Di et al.EOL'!$A$4:$A$544,dataforsankey!$P566)</f>
        <v>2.7110069701520736</v>
      </c>
      <c r="P566" t="s">
        <v>82</v>
      </c>
      <c r="S566" t="s">
        <v>891</v>
      </c>
      <c r="T566" t="s">
        <v>63</v>
      </c>
      <c r="U566" s="11">
        <f t="shared" si="50"/>
        <v>2.4709891582476901E-2</v>
      </c>
      <c r="V566" t="s">
        <v>19</v>
      </c>
      <c r="Y566" t="s">
        <v>872</v>
      </c>
      <c r="Z566" t="s">
        <v>103</v>
      </c>
      <c r="AA566" s="11">
        <f t="shared" si="48"/>
        <v>0</v>
      </c>
      <c r="AB566" t="s">
        <v>19</v>
      </c>
      <c r="AE566" t="s">
        <v>872</v>
      </c>
      <c r="AF566" t="s">
        <v>103</v>
      </c>
      <c r="AG566" s="11">
        <f t="shared" si="49"/>
        <v>0</v>
      </c>
      <c r="AH566" t="s">
        <v>19</v>
      </c>
    </row>
    <row r="567" spans="13:34" x14ac:dyDescent="0.2">
      <c r="M567" t="s">
        <v>68</v>
      </c>
      <c r="N567" s="11" t="str">
        <f>IF($M567=PlasticsUse!$D$93,Conversions!$A$17,IF($M567=PlasticsUse!$L$93,Conversions!$A$18,Conversions!$A$16))</f>
        <v>Transfer Station</v>
      </c>
      <c r="O567" s="11">
        <f>SUMIFS('CompilationCalcs - Di et al.EOL'!$F$4:$F$544,'CompilationCalcs - Di et al.EOL'!$C$4:$C$544,dataforsankey!$M567,'CompilationCalcs - Di et al.EOL'!$E$4:$E$544,$N567,'CompilationCalcs - Di et al.EOL'!$A$4:$A$544,dataforsankey!$P567)</f>
        <v>2.4086138424269157</v>
      </c>
      <c r="P567" t="s">
        <v>82</v>
      </c>
      <c r="S567" t="s">
        <v>891</v>
      </c>
      <c r="T567" t="s">
        <v>92</v>
      </c>
      <c r="U567" s="11">
        <f t="shared" si="50"/>
        <v>0</v>
      </c>
      <c r="V567" t="s">
        <v>19</v>
      </c>
      <c r="Y567" t="s">
        <v>872</v>
      </c>
      <c r="Z567" t="s">
        <v>86</v>
      </c>
      <c r="AA567" s="11">
        <f t="shared" si="48"/>
        <v>4.4622967636497122E-3</v>
      </c>
      <c r="AB567" t="s">
        <v>19</v>
      </c>
      <c r="AE567" t="s">
        <v>872</v>
      </c>
      <c r="AF567" t="s">
        <v>86</v>
      </c>
      <c r="AG567" s="11">
        <f t="shared" si="49"/>
        <v>4.4622967636497122E-3</v>
      </c>
      <c r="AH567" t="s">
        <v>19</v>
      </c>
    </row>
    <row r="568" spans="13:34" x14ac:dyDescent="0.2">
      <c r="M568" t="s">
        <v>63</v>
      </c>
      <c r="N568" s="11" t="str">
        <f>IF($M568=PlasticsUse!$D$93,Conversions!$A$17,IF($M568=PlasticsUse!$L$93,Conversions!$A$18,Conversions!$A$16))</f>
        <v>Transfer Station</v>
      </c>
      <c r="O568" s="11">
        <f>SUMIFS('CompilationCalcs - Di et al.EOL'!$F$4:$F$544,'CompilationCalcs - Di et al.EOL'!$C$4:$C$544,dataforsankey!$M568,'CompilationCalcs - Di et al.EOL'!$E$4:$E$544,$N568,'CompilationCalcs - Di et al.EOL'!$A$4:$A$544,dataforsankey!$P568)</f>
        <v>2.2040823313200337</v>
      </c>
      <c r="P568" t="s">
        <v>82</v>
      </c>
      <c r="S568" t="s">
        <v>891</v>
      </c>
      <c r="T568" t="s">
        <v>103</v>
      </c>
      <c r="U568" s="11">
        <f t="shared" si="50"/>
        <v>0</v>
      </c>
      <c r="V568" t="s">
        <v>19</v>
      </c>
      <c r="Y568" t="s">
        <v>872</v>
      </c>
      <c r="Z568" t="s">
        <v>18</v>
      </c>
      <c r="AA568" s="11">
        <f t="shared" si="48"/>
        <v>4.4622967636497122E-3</v>
      </c>
      <c r="AB568" t="s">
        <v>19</v>
      </c>
      <c r="AE568" t="s">
        <v>872</v>
      </c>
      <c r="AF568" t="s">
        <v>18</v>
      </c>
      <c r="AG568" s="11">
        <f t="shared" si="49"/>
        <v>4.4622967636497122E-3</v>
      </c>
      <c r="AH568" t="s">
        <v>19</v>
      </c>
    </row>
    <row r="569" spans="13:34" x14ac:dyDescent="0.2">
      <c r="M569" t="s">
        <v>92</v>
      </c>
      <c r="N569" s="11" t="str">
        <f>IF($M569=PlasticsUse!$D$93,Conversions!$A$17,IF($M569=PlasticsUse!$L$93,Conversions!$A$18,Conversions!$A$16))</f>
        <v>Transfer Station</v>
      </c>
      <c r="O569" s="11">
        <f>SUMIFS('CompilationCalcs - Di et al.EOL'!$F$4:$F$544,'CompilationCalcs - Di et al.EOL'!$C$4:$C$544,dataforsankey!$M569,'CompilationCalcs - Di et al.EOL'!$E$4:$E$544,$N569,'CompilationCalcs - Di et al.EOL'!$A$4:$A$544,dataforsankey!$P569)</f>
        <v>1.9069718782156957</v>
      </c>
      <c r="P569" t="s">
        <v>82</v>
      </c>
      <c r="S569" t="s">
        <v>891</v>
      </c>
      <c r="T569" t="s">
        <v>86</v>
      </c>
      <c r="U569" s="11">
        <f t="shared" si="50"/>
        <v>0</v>
      </c>
      <c r="V569" t="s">
        <v>19</v>
      </c>
      <c r="Y569" t="s">
        <v>872</v>
      </c>
      <c r="Z569" t="s">
        <v>38</v>
      </c>
      <c r="AA569" s="11">
        <f t="shared" si="48"/>
        <v>8.8390798044780713E-2</v>
      </c>
      <c r="AB569" t="s">
        <v>1</v>
      </c>
      <c r="AE569" t="s">
        <v>872</v>
      </c>
      <c r="AF569" t="s">
        <v>38</v>
      </c>
      <c r="AG569" s="11">
        <f t="shared" si="49"/>
        <v>8.8390798044780713E-2</v>
      </c>
      <c r="AH569" t="s">
        <v>1</v>
      </c>
    </row>
    <row r="570" spans="13:34" x14ac:dyDescent="0.2">
      <c r="M570" t="s">
        <v>103</v>
      </c>
      <c r="N570" s="11" t="str">
        <f>IF($M570=PlasticsUse!$D$93,Conversions!$A$17,IF($M570=PlasticsUse!$L$93,Conversions!$A$18,Conversions!$A$16))</f>
        <v>Transfer Station</v>
      </c>
      <c r="O570" s="11">
        <f>SUMIFS('CompilationCalcs - Di et al.EOL'!$F$4:$F$544,'CompilationCalcs - Di et al.EOL'!$C$4:$C$544,dataforsankey!$M570,'CompilationCalcs - Di et al.EOL'!$E$4:$E$544,$N570,'CompilationCalcs - Di et al.EOL'!$A$4:$A$544,dataforsankey!$P570)</f>
        <v>2.2130085000446935</v>
      </c>
      <c r="P570" t="s">
        <v>82</v>
      </c>
      <c r="S570" t="s">
        <v>891</v>
      </c>
      <c r="T570" t="s">
        <v>18</v>
      </c>
      <c r="U570" s="11">
        <f t="shared" si="50"/>
        <v>0</v>
      </c>
      <c r="V570" t="s">
        <v>19</v>
      </c>
      <c r="Y570" t="s">
        <v>872</v>
      </c>
      <c r="Z570" t="s">
        <v>99</v>
      </c>
      <c r="AA570" s="11">
        <f t="shared" si="48"/>
        <v>8.8390798044780713E-2</v>
      </c>
      <c r="AB570" t="s">
        <v>1</v>
      </c>
      <c r="AE570" t="s">
        <v>872</v>
      </c>
      <c r="AF570" t="s">
        <v>99</v>
      </c>
      <c r="AG570" s="11">
        <f t="shared" si="49"/>
        <v>8.8390798044780713E-2</v>
      </c>
      <c r="AH570" t="s">
        <v>1</v>
      </c>
    </row>
    <row r="571" spans="13:34" x14ac:dyDescent="0.2">
      <c r="M571" t="s">
        <v>86</v>
      </c>
      <c r="N571" s="11" t="str">
        <f>IF($M571=PlasticsUse!$D$93,Conversions!$A$17,IF($M571=PlasticsUse!$L$93,Conversions!$A$18,Conversions!$A$16))</f>
        <v>Transfer Station</v>
      </c>
      <c r="O571" s="11">
        <f>SUMIFS('CompilationCalcs - Di et al.EOL'!$F$4:$F$544,'CompilationCalcs - Di et al.EOL'!$C$4:$C$544,dataforsankey!$M571,'CompilationCalcs - Di et al.EOL'!$E$4:$E$544,$N571,'CompilationCalcs - Di et al.EOL'!$A$4:$A$544,dataforsankey!$P571)</f>
        <v>1.9069718782156957</v>
      </c>
      <c r="P571" t="s">
        <v>82</v>
      </c>
      <c r="S571" t="s">
        <v>891</v>
      </c>
      <c r="T571" t="s">
        <v>38</v>
      </c>
      <c r="U571" s="11">
        <f t="shared" si="50"/>
        <v>0</v>
      </c>
      <c r="V571" t="s">
        <v>1</v>
      </c>
      <c r="Y571" t="s">
        <v>872</v>
      </c>
      <c r="Z571" t="s">
        <v>69</v>
      </c>
      <c r="AA571" s="11">
        <f t="shared" si="48"/>
        <v>8.8390798044780713E-2</v>
      </c>
      <c r="AB571" t="s">
        <v>1</v>
      </c>
      <c r="AE571" t="s">
        <v>872</v>
      </c>
      <c r="AF571" t="s">
        <v>69</v>
      </c>
      <c r="AG571" s="11">
        <f t="shared" si="49"/>
        <v>8.8390798044780713E-2</v>
      </c>
      <c r="AH571" t="s">
        <v>1</v>
      </c>
    </row>
    <row r="572" spans="13:34" x14ac:dyDescent="0.2">
      <c r="M572" t="s">
        <v>38</v>
      </c>
      <c r="N572" s="11" t="str">
        <f>IF($M572=PlasticsUse!$D$93,Conversions!$A$17,IF($M572=PlasticsUse!$L$93,Conversions!$A$18,Conversions!$A$16))</f>
        <v>Transfer Station</v>
      </c>
      <c r="O572" s="11">
        <f>SUMIFS('CompilationCalcs - Di et al.EOL'!$F$4:$F$544,'CompilationCalcs - Di et al.EOL'!$C$4:$C$544,dataforsankey!$M572,'CompilationCalcs - Di et al.EOL'!$E$4:$E$544,$N572,'CompilationCalcs - Di et al.EOL'!$A$4:$A$544,dataforsankey!$P572)</f>
        <v>0</v>
      </c>
      <c r="P572" t="s">
        <v>127</v>
      </c>
      <c r="S572" t="s">
        <v>891</v>
      </c>
      <c r="T572" t="s">
        <v>99</v>
      </c>
      <c r="U572" s="11">
        <f t="shared" si="50"/>
        <v>3.4712258955991122E-2</v>
      </c>
      <c r="V572" t="s">
        <v>1</v>
      </c>
      <c r="Y572" t="s">
        <v>872</v>
      </c>
      <c r="Z572" t="s">
        <v>100</v>
      </c>
      <c r="AA572" s="11">
        <f t="shared" si="48"/>
        <v>8.8390798044780713E-2</v>
      </c>
      <c r="AB572" t="s">
        <v>1</v>
      </c>
      <c r="AE572" t="s">
        <v>872</v>
      </c>
      <c r="AF572" t="s">
        <v>100</v>
      </c>
      <c r="AG572" s="11">
        <f t="shared" si="49"/>
        <v>8.8390798044780713E-2</v>
      </c>
      <c r="AH572" t="s">
        <v>1</v>
      </c>
    </row>
    <row r="573" spans="13:34" x14ac:dyDescent="0.2">
      <c r="M573" t="s">
        <v>99</v>
      </c>
      <c r="N573" s="11" t="str">
        <f>IF($M573=PlasticsUse!$D$93,Conversions!$A$17,IF($M573=PlasticsUse!$L$93,Conversions!$A$18,Conversions!$A$16))</f>
        <v>Transfer Station</v>
      </c>
      <c r="O573" s="11">
        <f>SUMIFS('CompilationCalcs - Di et al.EOL'!$F$4:$F$544,'CompilationCalcs - Di et al.EOL'!$C$4:$C$544,dataforsankey!$M573,'CompilationCalcs - Di et al.EOL'!$E$4:$E$544,$N573,'CompilationCalcs - Di et al.EOL'!$A$4:$A$544,dataforsankey!$P573)</f>
        <v>0</v>
      </c>
      <c r="P573" t="s">
        <v>127</v>
      </c>
      <c r="S573" t="s">
        <v>891</v>
      </c>
      <c r="T573" t="s">
        <v>69</v>
      </c>
      <c r="U573" s="11">
        <f t="shared" si="50"/>
        <v>7.2119083034810502E-2</v>
      </c>
      <c r="V573" t="s">
        <v>1</v>
      </c>
      <c r="Y573" t="s">
        <v>872</v>
      </c>
      <c r="Z573" t="s">
        <v>39</v>
      </c>
      <c r="AA573" s="11">
        <f t="shared" si="48"/>
        <v>8.8390798044780713E-2</v>
      </c>
      <c r="AB573" t="s">
        <v>1</v>
      </c>
      <c r="AE573" t="s">
        <v>872</v>
      </c>
      <c r="AF573" t="s">
        <v>39</v>
      </c>
      <c r="AG573" s="11">
        <f t="shared" si="49"/>
        <v>8.8390798044780713E-2</v>
      </c>
      <c r="AH573" t="s">
        <v>1</v>
      </c>
    </row>
    <row r="574" spans="13:34" x14ac:dyDescent="0.2">
      <c r="M574" t="s">
        <v>69</v>
      </c>
      <c r="N574" s="11" t="str">
        <f>IF($M574=PlasticsUse!$D$93,Conversions!$A$17,IF($M574=PlasticsUse!$L$93,Conversions!$A$18,Conversions!$A$16))</f>
        <v>Automotive Shredding Facility</v>
      </c>
      <c r="O574" s="11">
        <f>SUMIFS('CompilationCalcs - Di et al.EOL'!$F$4:$F$544,'CompilationCalcs - Di et al.EOL'!$C$4:$C$544,dataforsankey!$M574,'CompilationCalcs - Di et al.EOL'!$E$4:$E$544,$N574,'CompilationCalcs - Di et al.EOL'!$A$4:$A$544,dataforsankey!$P574)</f>
        <v>0</v>
      </c>
      <c r="P574" t="s">
        <v>127</v>
      </c>
      <c r="S574" t="s">
        <v>891</v>
      </c>
      <c r="T574" t="s">
        <v>100</v>
      </c>
      <c r="U574" s="11">
        <f t="shared" si="50"/>
        <v>0</v>
      </c>
      <c r="V574" t="s">
        <v>1</v>
      </c>
      <c r="Y574" t="s">
        <v>872</v>
      </c>
      <c r="Z574" t="s">
        <v>68</v>
      </c>
      <c r="AA574" s="11">
        <f t="shared" si="48"/>
        <v>8.8390798044780713E-2</v>
      </c>
      <c r="AB574" t="s">
        <v>1</v>
      </c>
      <c r="AE574" t="s">
        <v>872</v>
      </c>
      <c r="AF574" t="s">
        <v>68</v>
      </c>
      <c r="AG574" s="11">
        <f t="shared" si="49"/>
        <v>8.8390798044780713E-2</v>
      </c>
      <c r="AH574" t="s">
        <v>1</v>
      </c>
    </row>
    <row r="575" spans="13:34" x14ac:dyDescent="0.2">
      <c r="M575" t="s">
        <v>100</v>
      </c>
      <c r="N575" s="11" t="str">
        <f>IF($M575=PlasticsUse!$D$93,Conversions!$A$17,IF($M575=PlasticsUse!$L$93,Conversions!$A$18,Conversions!$A$16))</f>
        <v>Transfer Station</v>
      </c>
      <c r="O575" s="11">
        <f>SUMIFS('CompilationCalcs - Di et al.EOL'!$F$4:$F$544,'CompilationCalcs - Di et al.EOL'!$C$4:$C$544,dataforsankey!$M575,'CompilationCalcs - Di et al.EOL'!$E$4:$E$544,$N575,'CompilationCalcs - Di et al.EOL'!$A$4:$A$544,dataforsankey!$P575)</f>
        <v>0</v>
      </c>
      <c r="P575" t="s">
        <v>127</v>
      </c>
      <c r="S575" t="s">
        <v>891</v>
      </c>
      <c r="T575" t="s">
        <v>39</v>
      </c>
      <c r="U575" s="11">
        <f t="shared" si="50"/>
        <v>5.6345152905670964E-2</v>
      </c>
      <c r="V575" t="s">
        <v>1</v>
      </c>
      <c r="Y575" t="s">
        <v>872</v>
      </c>
      <c r="Z575" t="s">
        <v>63</v>
      </c>
      <c r="AA575" s="11">
        <f t="shared" si="48"/>
        <v>8.8390798044780713E-2</v>
      </c>
      <c r="AB575" t="s">
        <v>1</v>
      </c>
      <c r="AE575" t="s">
        <v>872</v>
      </c>
      <c r="AF575" t="s">
        <v>63</v>
      </c>
      <c r="AG575" s="11">
        <f t="shared" si="49"/>
        <v>8.8390798044780713E-2</v>
      </c>
      <c r="AH575" t="s">
        <v>1</v>
      </c>
    </row>
    <row r="576" spans="13:34" x14ac:dyDescent="0.2">
      <c r="M576" t="s">
        <v>39</v>
      </c>
      <c r="N576" s="11" t="str">
        <f>IF($M576=PlasticsUse!$D$93,Conversions!$A$17,IF($M576=PlasticsUse!$L$93,Conversions!$A$18,Conversions!$A$16))</f>
        <v>Transfer Station</v>
      </c>
      <c r="O576" s="11">
        <f>SUMIFS('CompilationCalcs - Di et al.EOL'!$F$4:$F$544,'CompilationCalcs - Di et al.EOL'!$C$4:$C$544,dataforsankey!$M576,'CompilationCalcs - Di et al.EOL'!$E$4:$E$544,$N576,'CompilationCalcs - Di et al.EOL'!$A$4:$A$544,dataforsankey!$P576)</f>
        <v>0</v>
      </c>
      <c r="P576" t="s">
        <v>127</v>
      </c>
      <c r="S576" t="s">
        <v>891</v>
      </c>
      <c r="T576" t="s">
        <v>68</v>
      </c>
      <c r="U576" s="11">
        <f t="shared" si="50"/>
        <v>9.2096495920437713E-2</v>
      </c>
      <c r="V576" t="s">
        <v>1</v>
      </c>
      <c r="Y576" t="s">
        <v>872</v>
      </c>
      <c r="Z576" t="s">
        <v>92</v>
      </c>
      <c r="AA576" s="11">
        <f t="shared" si="48"/>
        <v>8.8390798044780713E-2</v>
      </c>
      <c r="AB576" t="s">
        <v>1</v>
      </c>
      <c r="AE576" t="s">
        <v>872</v>
      </c>
      <c r="AF576" t="s">
        <v>92</v>
      </c>
      <c r="AG576" s="11">
        <f t="shared" si="49"/>
        <v>8.8390798044780713E-2</v>
      </c>
      <c r="AH576" t="s">
        <v>1</v>
      </c>
    </row>
    <row r="577" spans="13:34" x14ac:dyDescent="0.2">
      <c r="M577" t="s">
        <v>68</v>
      </c>
      <c r="N577" s="11" t="str">
        <f>IF($M577=PlasticsUse!$D$93,Conversions!$A$17,IF($M577=PlasticsUse!$L$93,Conversions!$A$18,Conversions!$A$16))</f>
        <v>Transfer Station</v>
      </c>
      <c r="O577" s="11">
        <f>SUMIFS('CompilationCalcs - Di et al.EOL'!$F$4:$F$544,'CompilationCalcs - Di et al.EOL'!$C$4:$C$544,dataforsankey!$M577,'CompilationCalcs - Di et al.EOL'!$E$4:$E$544,$N577,'CompilationCalcs - Di et al.EOL'!$A$4:$A$544,dataforsankey!$P577)</f>
        <v>0</v>
      </c>
      <c r="P577" t="s">
        <v>127</v>
      </c>
      <c r="S577" t="s">
        <v>891</v>
      </c>
      <c r="T577" t="s">
        <v>63</v>
      </c>
      <c r="U577" s="11">
        <f t="shared" si="50"/>
        <v>3.4555582634421933E-2</v>
      </c>
      <c r="V577" t="s">
        <v>1</v>
      </c>
      <c r="Y577" t="s">
        <v>872</v>
      </c>
      <c r="Z577" t="s">
        <v>103</v>
      </c>
      <c r="AA577" s="11">
        <f t="shared" si="48"/>
        <v>0</v>
      </c>
      <c r="AB577" t="s">
        <v>1</v>
      </c>
      <c r="AE577" t="s">
        <v>872</v>
      </c>
      <c r="AF577" t="s">
        <v>103</v>
      </c>
      <c r="AG577" s="11">
        <f t="shared" si="49"/>
        <v>0</v>
      </c>
      <c r="AH577" t="s">
        <v>1</v>
      </c>
    </row>
    <row r="578" spans="13:34" x14ac:dyDescent="0.2">
      <c r="M578" t="s">
        <v>63</v>
      </c>
      <c r="N578" s="11" t="str">
        <f>IF($M578=PlasticsUse!$D$93,Conversions!$A$17,IF($M578=PlasticsUse!$L$93,Conversions!$A$18,Conversions!$A$16))</f>
        <v>Transfer Station</v>
      </c>
      <c r="O578" s="11">
        <f>SUMIFS('CompilationCalcs - Di et al.EOL'!$F$4:$F$544,'CompilationCalcs - Di et al.EOL'!$C$4:$C$544,dataforsankey!$M578,'CompilationCalcs - Di et al.EOL'!$E$4:$E$544,$N578,'CompilationCalcs - Di et al.EOL'!$A$4:$A$544,dataforsankey!$P578)</f>
        <v>0</v>
      </c>
      <c r="P578" t="s">
        <v>127</v>
      </c>
      <c r="S578" t="s">
        <v>891</v>
      </c>
      <c r="T578" t="s">
        <v>92</v>
      </c>
      <c r="U578" s="11">
        <f t="shared" si="50"/>
        <v>0</v>
      </c>
      <c r="V578" t="s">
        <v>1</v>
      </c>
      <c r="Y578" t="s">
        <v>872</v>
      </c>
      <c r="Z578" t="s">
        <v>86</v>
      </c>
      <c r="AA578" s="11">
        <f t="shared" si="48"/>
        <v>8.8390798044780713E-2</v>
      </c>
      <c r="AB578" t="s">
        <v>1</v>
      </c>
      <c r="AE578" t="s">
        <v>872</v>
      </c>
      <c r="AF578" t="s">
        <v>86</v>
      </c>
      <c r="AG578" s="11">
        <f t="shared" si="49"/>
        <v>8.8390798044780713E-2</v>
      </c>
      <c r="AH578" t="s">
        <v>1</v>
      </c>
    </row>
    <row r="579" spans="13:34" x14ac:dyDescent="0.2">
      <c r="M579" t="s">
        <v>92</v>
      </c>
      <c r="N579" s="11" t="str">
        <f>IF($M579=PlasticsUse!$D$93,Conversions!$A$17,IF($M579=PlasticsUse!$L$93,Conversions!$A$18,Conversions!$A$16))</f>
        <v>Transfer Station</v>
      </c>
      <c r="O579" s="11">
        <f>SUMIFS('CompilationCalcs - Di et al.EOL'!$F$4:$F$544,'CompilationCalcs - Di et al.EOL'!$C$4:$C$544,dataforsankey!$M579,'CompilationCalcs - Di et al.EOL'!$E$4:$E$544,$N579,'CompilationCalcs - Di et al.EOL'!$A$4:$A$544,dataforsankey!$P579)</f>
        <v>0</v>
      </c>
      <c r="P579" t="s">
        <v>127</v>
      </c>
      <c r="S579" t="s">
        <v>891</v>
      </c>
      <c r="T579" t="s">
        <v>103</v>
      </c>
      <c r="U579" s="11">
        <f t="shared" si="50"/>
        <v>0</v>
      </c>
      <c r="V579" t="s">
        <v>1</v>
      </c>
      <c r="Y579" t="s">
        <v>872</v>
      </c>
      <c r="Z579" t="s">
        <v>18</v>
      </c>
      <c r="AA579" s="11">
        <f t="shared" si="48"/>
        <v>8.8390798044780713E-2</v>
      </c>
      <c r="AB579" t="s">
        <v>1</v>
      </c>
      <c r="AE579" t="s">
        <v>872</v>
      </c>
      <c r="AF579" t="s">
        <v>18</v>
      </c>
      <c r="AG579" s="11">
        <f t="shared" si="49"/>
        <v>8.8390798044780713E-2</v>
      </c>
      <c r="AH579" t="s">
        <v>1</v>
      </c>
    </row>
    <row r="580" spans="13:34" x14ac:dyDescent="0.2">
      <c r="M580" t="s">
        <v>103</v>
      </c>
      <c r="N580" s="11" t="str">
        <f>IF($M580=PlasticsUse!$D$93,Conversions!$A$17,IF($M580=PlasticsUse!$L$93,Conversions!$A$18,Conversions!$A$16))</f>
        <v>Transfer Station</v>
      </c>
      <c r="O580" s="11">
        <f>SUMIFS('CompilationCalcs - Di et al.EOL'!$F$4:$F$544,'CompilationCalcs - Di et al.EOL'!$C$4:$C$544,dataforsankey!$M580,'CompilationCalcs - Di et al.EOL'!$E$4:$E$544,$N580,'CompilationCalcs - Di et al.EOL'!$A$4:$A$544,dataforsankey!$P580)</f>
        <v>0</v>
      </c>
      <c r="P580" t="s">
        <v>127</v>
      </c>
      <c r="S580" t="s">
        <v>891</v>
      </c>
      <c r="T580" t="s">
        <v>86</v>
      </c>
      <c r="U580" s="11">
        <f t="shared" si="50"/>
        <v>0</v>
      </c>
      <c r="V580" t="s">
        <v>1</v>
      </c>
      <c r="Y580" t="s">
        <v>872</v>
      </c>
      <c r="Z580" t="s">
        <v>38</v>
      </c>
      <c r="AA580" s="11">
        <f t="shared" si="48"/>
        <v>2.0411321201018937E-2</v>
      </c>
      <c r="AB580" t="s">
        <v>10</v>
      </c>
      <c r="AE580" t="s">
        <v>872</v>
      </c>
      <c r="AF580" t="s">
        <v>38</v>
      </c>
      <c r="AG580" s="11">
        <f t="shared" si="49"/>
        <v>2.0411321201018937E-2</v>
      </c>
      <c r="AH580" t="s">
        <v>10</v>
      </c>
    </row>
    <row r="581" spans="13:34" x14ac:dyDescent="0.2">
      <c r="M581" t="s">
        <v>86</v>
      </c>
      <c r="N581" s="11" t="str">
        <f>IF($M581=PlasticsUse!$D$93,Conversions!$A$17,IF($M581=PlasticsUse!$L$93,Conversions!$A$18,Conversions!$A$16))</f>
        <v>Transfer Station</v>
      </c>
      <c r="O581" s="11">
        <f>SUMIFS('CompilationCalcs - Di et al.EOL'!$F$4:$F$544,'CompilationCalcs - Di et al.EOL'!$C$4:$C$544,dataforsankey!$M581,'CompilationCalcs - Di et al.EOL'!$E$4:$E$544,$N581,'CompilationCalcs - Di et al.EOL'!$A$4:$A$544,dataforsankey!$P581)</f>
        <v>1.9004609605610838</v>
      </c>
      <c r="P581" t="s">
        <v>127</v>
      </c>
      <c r="S581" t="s">
        <v>891</v>
      </c>
      <c r="T581" t="s">
        <v>18</v>
      </c>
      <c r="U581" s="11">
        <f t="shared" si="50"/>
        <v>0</v>
      </c>
      <c r="V581" t="s">
        <v>1</v>
      </c>
      <c r="Y581" t="s">
        <v>872</v>
      </c>
      <c r="Z581" t="s">
        <v>99</v>
      </c>
      <c r="AA581" s="11">
        <f t="shared" si="48"/>
        <v>2.0411321201018937E-2</v>
      </c>
      <c r="AB581" t="s">
        <v>10</v>
      </c>
      <c r="AE581" t="s">
        <v>872</v>
      </c>
      <c r="AF581" t="s">
        <v>99</v>
      </c>
      <c r="AG581" s="11">
        <f t="shared" si="49"/>
        <v>2.0411321201018937E-2</v>
      </c>
      <c r="AH581" t="s">
        <v>10</v>
      </c>
    </row>
    <row r="582" spans="13:34" x14ac:dyDescent="0.2">
      <c r="M582" t="s">
        <v>38</v>
      </c>
      <c r="N582" s="11" t="str">
        <f>IF($M582=PlasticsUse!$D$93,Conversions!$A$17,IF($M582=PlasticsUse!$L$93,Conversions!$A$18,Conversions!$A$16))</f>
        <v>Transfer Station</v>
      </c>
      <c r="O582" s="11">
        <f>SUMIFS('CompilationCalcs - Di et al.EOL'!$F$4:$F$544,'CompilationCalcs - Di et al.EOL'!$C$4:$C$544,dataforsankey!$M582,'CompilationCalcs - Di et al.EOL'!$E$4:$E$544,$N582,'CompilationCalcs - Di et al.EOL'!$A$4:$A$544,dataforsankey!$P582)</f>
        <v>9.3451412386754112E-2</v>
      </c>
      <c r="P582" t="s">
        <v>8</v>
      </c>
      <c r="S582" t="s">
        <v>891</v>
      </c>
      <c r="T582" t="s">
        <v>38</v>
      </c>
      <c r="U582" s="11">
        <f t="shared" si="50"/>
        <v>0</v>
      </c>
      <c r="V582" t="s">
        <v>10</v>
      </c>
      <c r="Y582" t="s">
        <v>872</v>
      </c>
      <c r="Z582" t="s">
        <v>69</v>
      </c>
      <c r="AA582" s="11">
        <f t="shared" si="48"/>
        <v>2.0411321201018937E-2</v>
      </c>
      <c r="AB582" t="s">
        <v>10</v>
      </c>
      <c r="AE582" t="s">
        <v>872</v>
      </c>
      <c r="AF582" t="s">
        <v>69</v>
      </c>
      <c r="AG582" s="11">
        <f t="shared" si="49"/>
        <v>2.0411321201018937E-2</v>
      </c>
      <c r="AH582" t="s">
        <v>10</v>
      </c>
    </row>
    <row r="583" spans="13:34" x14ac:dyDescent="0.2">
      <c r="M583" t="s">
        <v>99</v>
      </c>
      <c r="N583" s="11" t="str">
        <f>IF($M583=PlasticsUse!$D$93,Conversions!$A$17,IF($M583=PlasticsUse!$L$93,Conversions!$A$18,Conversions!$A$16))</f>
        <v>Transfer Station</v>
      </c>
      <c r="O583" s="11">
        <f>SUMIFS('CompilationCalcs - Di et al.EOL'!$F$4:$F$544,'CompilationCalcs - Di et al.EOL'!$C$4:$C$544,dataforsankey!$M583,'CompilationCalcs - Di et al.EOL'!$E$4:$E$544,$N583,'CompilationCalcs - Di et al.EOL'!$A$4:$A$544,dataforsankey!$P583)</f>
        <v>0.22738327729673571</v>
      </c>
      <c r="P583" t="s">
        <v>8</v>
      </c>
      <c r="S583" t="s">
        <v>891</v>
      </c>
      <c r="T583" t="s">
        <v>99</v>
      </c>
      <c r="U583" s="11">
        <f t="shared" si="50"/>
        <v>2.6701397680935712E-2</v>
      </c>
      <c r="V583" t="s">
        <v>10</v>
      </c>
      <c r="Y583" t="s">
        <v>872</v>
      </c>
      <c r="Z583" t="s">
        <v>100</v>
      </c>
      <c r="AA583" s="11">
        <f t="shared" si="48"/>
        <v>2.0411321201018937E-2</v>
      </c>
      <c r="AB583" t="s">
        <v>10</v>
      </c>
      <c r="AE583" t="s">
        <v>872</v>
      </c>
      <c r="AF583" t="s">
        <v>100</v>
      </c>
      <c r="AG583" s="11">
        <f t="shared" si="49"/>
        <v>2.0411321201018937E-2</v>
      </c>
      <c r="AH583" t="s">
        <v>10</v>
      </c>
    </row>
    <row r="584" spans="13:34" x14ac:dyDescent="0.2">
      <c r="M584" t="s">
        <v>69</v>
      </c>
      <c r="N584" s="11" t="str">
        <f>IF($M584=PlasticsUse!$D$93,Conversions!$A$17,IF($M584=PlasticsUse!$L$93,Conversions!$A$18,Conversions!$A$16))</f>
        <v>Automotive Shredding Facility</v>
      </c>
      <c r="O584" s="11">
        <f>SUMIFS('CompilationCalcs - Di et al.EOL'!$F$4:$F$544,'CompilationCalcs - Di et al.EOL'!$C$4:$C$544,dataforsankey!$M584,'CompilationCalcs - Di et al.EOL'!$E$4:$E$544,$N584,'CompilationCalcs - Di et al.EOL'!$A$4:$A$544,dataforsankey!$P584)</f>
        <v>0.4931261752575189</v>
      </c>
      <c r="P584" t="s">
        <v>8</v>
      </c>
      <c r="S584" t="s">
        <v>891</v>
      </c>
      <c r="T584" t="s">
        <v>69</v>
      </c>
      <c r="U584" s="11">
        <f t="shared" si="50"/>
        <v>5.5475511373037238E-2</v>
      </c>
      <c r="V584" t="s">
        <v>10</v>
      </c>
      <c r="Y584" t="s">
        <v>872</v>
      </c>
      <c r="Z584" t="s">
        <v>39</v>
      </c>
      <c r="AA584" s="11">
        <f t="shared" si="48"/>
        <v>2.0411321201018937E-2</v>
      </c>
      <c r="AB584" t="s">
        <v>10</v>
      </c>
      <c r="AE584" t="s">
        <v>872</v>
      </c>
      <c r="AF584" t="s">
        <v>39</v>
      </c>
      <c r="AG584" s="11">
        <f t="shared" si="49"/>
        <v>2.0411321201018937E-2</v>
      </c>
      <c r="AH584" t="s">
        <v>10</v>
      </c>
    </row>
    <row r="585" spans="13:34" x14ac:dyDescent="0.2">
      <c r="M585" t="s">
        <v>100</v>
      </c>
      <c r="N585" s="11" t="str">
        <f>IF($M585=PlasticsUse!$D$93,Conversions!$A$17,IF($M585=PlasticsUse!$L$93,Conversions!$A$18,Conversions!$A$16))</f>
        <v>Transfer Station</v>
      </c>
      <c r="O585" s="11">
        <f>SUMIFS('CompilationCalcs - Di et al.EOL'!$F$4:$F$544,'CompilationCalcs - Di et al.EOL'!$C$4:$C$544,dataforsankey!$M585,'CompilationCalcs - Di et al.EOL'!$E$4:$E$544,$N585,'CompilationCalcs - Di et al.EOL'!$A$4:$A$544,dataforsankey!$P585)</f>
        <v>0.18101112635101532</v>
      </c>
      <c r="P585" t="s">
        <v>8</v>
      </c>
      <c r="S585" t="s">
        <v>891</v>
      </c>
      <c r="T585" t="s">
        <v>100</v>
      </c>
      <c r="U585" s="11">
        <f t="shared" si="50"/>
        <v>0</v>
      </c>
      <c r="V585" t="s">
        <v>10</v>
      </c>
      <c r="Y585" t="s">
        <v>872</v>
      </c>
      <c r="Z585" t="s">
        <v>68</v>
      </c>
      <c r="AA585" s="11">
        <f t="shared" si="48"/>
        <v>2.0411321201018937E-2</v>
      </c>
      <c r="AB585" t="s">
        <v>10</v>
      </c>
      <c r="AE585" t="s">
        <v>872</v>
      </c>
      <c r="AF585" t="s">
        <v>68</v>
      </c>
      <c r="AG585" s="11">
        <f t="shared" si="49"/>
        <v>2.0411321201018937E-2</v>
      </c>
      <c r="AH585" t="s">
        <v>10</v>
      </c>
    </row>
    <row r="586" spans="13:34" x14ac:dyDescent="0.2">
      <c r="M586" t="s">
        <v>39</v>
      </c>
      <c r="N586" s="11" t="str">
        <f>IF($M586=PlasticsUse!$D$93,Conversions!$A$17,IF($M586=PlasticsUse!$L$93,Conversions!$A$18,Conversions!$A$16))</f>
        <v>Transfer Station</v>
      </c>
      <c r="O586" s="11">
        <f>SUMIFS('CompilationCalcs - Di et al.EOL'!$F$4:$F$544,'CompilationCalcs - Di et al.EOL'!$C$4:$C$544,dataforsankey!$M586,'CompilationCalcs - Di et al.EOL'!$E$4:$E$544,$N586,'CompilationCalcs - Di et al.EOL'!$A$4:$A$544,dataforsankey!$P586)</f>
        <v>0.15043903319758822</v>
      </c>
      <c r="P586" t="s">
        <v>8</v>
      </c>
      <c r="S586" t="s">
        <v>891</v>
      </c>
      <c r="T586" t="s">
        <v>39</v>
      </c>
      <c r="U586" s="11">
        <f t="shared" si="50"/>
        <v>4.3341873458448157E-2</v>
      </c>
      <c r="V586" t="s">
        <v>10</v>
      </c>
      <c r="Y586" t="s">
        <v>872</v>
      </c>
      <c r="Z586" t="s">
        <v>63</v>
      </c>
      <c r="AA586" s="11">
        <f t="shared" si="48"/>
        <v>2.0411321201018937E-2</v>
      </c>
      <c r="AB586" t="s">
        <v>10</v>
      </c>
      <c r="AE586" t="s">
        <v>872</v>
      </c>
      <c r="AF586" t="s">
        <v>63</v>
      </c>
      <c r="AG586" s="11">
        <f t="shared" si="49"/>
        <v>2.0411321201018937E-2</v>
      </c>
      <c r="AH586" t="s">
        <v>10</v>
      </c>
    </row>
    <row r="587" spans="13:34" x14ac:dyDescent="0.2">
      <c r="M587" t="s">
        <v>68</v>
      </c>
      <c r="N587" s="11" t="str">
        <f>IF($M587=PlasticsUse!$D$93,Conversions!$A$17,IF($M587=PlasticsUse!$L$93,Conversions!$A$18,Conversions!$A$16))</f>
        <v>Transfer Station</v>
      </c>
      <c r="O587" s="11">
        <f>SUMIFS('CompilationCalcs - Di et al.EOL'!$F$4:$F$544,'CompilationCalcs - Di et al.EOL'!$C$4:$C$544,dataforsankey!$M587,'CompilationCalcs - Di et al.EOL'!$E$4:$E$544,$N587,'CompilationCalcs - Di et al.EOL'!$A$4:$A$544,dataforsankey!$P587)</f>
        <v>0.25692173854078176</v>
      </c>
      <c r="P587" t="s">
        <v>8</v>
      </c>
      <c r="S587" t="s">
        <v>891</v>
      </c>
      <c r="T587" t="s">
        <v>68</v>
      </c>
      <c r="U587" s="11">
        <f t="shared" si="50"/>
        <v>7.0842556392252717E-2</v>
      </c>
      <c r="V587" t="s">
        <v>10</v>
      </c>
      <c r="Y587" t="s">
        <v>872</v>
      </c>
      <c r="Z587" t="s">
        <v>92</v>
      </c>
      <c r="AA587" s="11">
        <f t="shared" si="48"/>
        <v>2.0411321201018937E-2</v>
      </c>
      <c r="AB587" t="s">
        <v>10</v>
      </c>
      <c r="AE587" t="s">
        <v>872</v>
      </c>
      <c r="AF587" t="s">
        <v>92</v>
      </c>
      <c r="AG587" s="11">
        <f t="shared" si="49"/>
        <v>2.0411321201018937E-2</v>
      </c>
      <c r="AH587" t="s">
        <v>10</v>
      </c>
    </row>
    <row r="588" spans="13:34" x14ac:dyDescent="0.2">
      <c r="M588" t="s">
        <v>63</v>
      </c>
      <c r="N588" s="11" t="str">
        <f>IF($M588=PlasticsUse!$D$93,Conversions!$A$17,IF($M588=PlasticsUse!$L$93,Conversions!$A$18,Conversions!$A$16))</f>
        <v>Transfer Station</v>
      </c>
      <c r="O588" s="11">
        <f>SUMIFS('CompilationCalcs - Di et al.EOL'!$F$4:$F$544,'CompilationCalcs - Di et al.EOL'!$C$4:$C$544,dataforsankey!$M588,'CompilationCalcs - Di et al.EOL'!$E$4:$E$544,$N588,'CompilationCalcs - Di et al.EOL'!$A$4:$A$544,dataforsankey!$P588)</f>
        <v>0.23510479532874518</v>
      </c>
      <c r="P588" t="s">
        <v>8</v>
      </c>
      <c r="S588" t="s">
        <v>891</v>
      </c>
      <c r="T588" t="s">
        <v>63</v>
      </c>
      <c r="U588" s="11">
        <f t="shared" si="50"/>
        <v>2.6580878968088213E-2</v>
      </c>
      <c r="V588" t="s">
        <v>10</v>
      </c>
      <c r="Y588" t="s">
        <v>872</v>
      </c>
      <c r="Z588" t="s">
        <v>103</v>
      </c>
      <c r="AA588" s="11">
        <f t="shared" si="48"/>
        <v>0</v>
      </c>
      <c r="AB588" t="s">
        <v>10</v>
      </c>
      <c r="AE588" t="s">
        <v>872</v>
      </c>
      <c r="AF588" t="s">
        <v>103</v>
      </c>
      <c r="AG588" s="11">
        <f t="shared" si="49"/>
        <v>0</v>
      </c>
      <c r="AH588" t="s">
        <v>10</v>
      </c>
    </row>
    <row r="589" spans="13:34" x14ac:dyDescent="0.2">
      <c r="M589" t="s">
        <v>92</v>
      </c>
      <c r="N589" s="11" t="str">
        <f>IF($M589=PlasticsUse!$D$93,Conversions!$A$17,IF($M589=PlasticsUse!$L$93,Conversions!$A$18,Conversions!$A$16))</f>
        <v>Transfer Station</v>
      </c>
      <c r="O589" s="11">
        <f>SUMIFS('CompilationCalcs - Di et al.EOL'!$F$4:$F$544,'CompilationCalcs - Di et al.EOL'!$C$4:$C$544,dataforsankey!$M589,'CompilationCalcs - Di et al.EOL'!$E$4:$E$544,$N589,'CompilationCalcs - Di et al.EOL'!$A$4:$A$544,dataforsankey!$P589)</f>
        <v>0.20341265240171966</v>
      </c>
      <c r="P589" t="s">
        <v>8</v>
      </c>
      <c r="S589" t="s">
        <v>891</v>
      </c>
      <c r="T589" t="s">
        <v>92</v>
      </c>
      <c r="U589" s="11">
        <f t="shared" si="50"/>
        <v>0</v>
      </c>
      <c r="V589" t="s">
        <v>10</v>
      </c>
      <c r="Y589" t="s">
        <v>872</v>
      </c>
      <c r="Z589" t="s">
        <v>86</v>
      </c>
      <c r="AA589" s="11">
        <f t="shared" si="48"/>
        <v>2.0411321201018937E-2</v>
      </c>
      <c r="AB589" t="s">
        <v>10</v>
      </c>
      <c r="AE589" t="s">
        <v>872</v>
      </c>
      <c r="AF589" t="s">
        <v>86</v>
      </c>
      <c r="AG589" s="11">
        <f t="shared" si="49"/>
        <v>2.0411321201018937E-2</v>
      </c>
      <c r="AH589" t="s">
        <v>10</v>
      </c>
    </row>
    <row r="590" spans="13:34" x14ac:dyDescent="0.2">
      <c r="M590" t="s">
        <v>103</v>
      </c>
      <c r="N590" s="11" t="str">
        <f>IF($M590=PlasticsUse!$D$93,Conversions!$A$17,IF($M590=PlasticsUse!$L$93,Conversions!$A$18,Conversions!$A$16))</f>
        <v>Transfer Station</v>
      </c>
      <c r="O590" s="11">
        <f>SUMIFS('CompilationCalcs - Di et al.EOL'!$F$4:$F$544,'CompilationCalcs - Di et al.EOL'!$C$4:$C$544,dataforsankey!$M590,'CompilationCalcs - Di et al.EOL'!$E$4:$E$544,$N590,'CompilationCalcs - Di et al.EOL'!$A$4:$A$544,dataforsankey!$P590)</f>
        <v>0</v>
      </c>
      <c r="P590" t="s">
        <v>8</v>
      </c>
      <c r="S590" t="s">
        <v>891</v>
      </c>
      <c r="T590" t="s">
        <v>103</v>
      </c>
      <c r="U590" s="11">
        <f t="shared" si="50"/>
        <v>0</v>
      </c>
      <c r="V590" t="s">
        <v>10</v>
      </c>
      <c r="Y590" t="s">
        <v>872</v>
      </c>
      <c r="Z590" t="s">
        <v>18</v>
      </c>
      <c r="AA590" s="11">
        <f t="shared" si="48"/>
        <v>2.0411321201018937E-2</v>
      </c>
      <c r="AB590" t="s">
        <v>10</v>
      </c>
      <c r="AE590" t="s">
        <v>872</v>
      </c>
      <c r="AF590" t="s">
        <v>18</v>
      </c>
      <c r="AG590" s="11">
        <f t="shared" si="49"/>
        <v>2.0411321201018937E-2</v>
      </c>
      <c r="AH590" t="s">
        <v>10</v>
      </c>
    </row>
    <row r="591" spans="13:34" x14ac:dyDescent="0.2">
      <c r="M591" t="s">
        <v>86</v>
      </c>
      <c r="N591" s="11" t="str">
        <f>IF($M591=PlasticsUse!$D$93,Conversions!$A$17,IF($M591=PlasticsUse!$L$93,Conversions!$A$18,Conversions!$A$16))</f>
        <v>Transfer Station</v>
      </c>
      <c r="O591" s="11">
        <f>SUMIFS('CompilationCalcs - Di et al.EOL'!$F$4:$F$544,'CompilationCalcs - Di et al.EOL'!$C$4:$C$544,dataforsankey!$M591,'CompilationCalcs - Di et al.EOL'!$E$4:$E$544,$N591,'CompilationCalcs - Di et al.EOL'!$A$4:$A$544,dataforsankey!$P591)</f>
        <v>0.20341265240171966</v>
      </c>
      <c r="P591" t="s">
        <v>8</v>
      </c>
      <c r="S591" t="s">
        <v>891</v>
      </c>
      <c r="T591" t="s">
        <v>86</v>
      </c>
      <c r="U591" s="11">
        <f t="shared" si="50"/>
        <v>0</v>
      </c>
      <c r="V591" t="s">
        <v>10</v>
      </c>
      <c r="Y591" t="s">
        <v>872</v>
      </c>
      <c r="Z591" t="s">
        <v>38</v>
      </c>
      <c r="AA591" s="11">
        <f t="shared" si="48"/>
        <v>5.208942626728095E-3</v>
      </c>
      <c r="AB591" t="s">
        <v>11</v>
      </c>
      <c r="AE591" t="s">
        <v>872</v>
      </c>
      <c r="AF591" t="s">
        <v>38</v>
      </c>
      <c r="AG591" s="11">
        <f t="shared" si="49"/>
        <v>5.208942626728095E-3</v>
      </c>
      <c r="AH591" t="s">
        <v>11</v>
      </c>
    </row>
    <row r="592" spans="13:34" x14ac:dyDescent="0.2">
      <c r="M592" t="s">
        <v>38</v>
      </c>
      <c r="N592" s="11" t="str">
        <f>IF($M592=PlasticsUse!$D$93,Conversions!$A$17,IF($M592=PlasticsUse!$L$93,Conversions!$A$18,Conversions!$A$16))</f>
        <v>Transfer Station</v>
      </c>
      <c r="O592" s="11">
        <f>SUMIFS('CompilationCalcs - Di et al.EOL'!$F$4:$F$544,'CompilationCalcs - Di et al.EOL'!$C$4:$C$544,dataforsankey!$M592,'CompilationCalcs - Di et al.EOL'!$E$4:$E$544,$N592,'CompilationCalcs - Di et al.EOL'!$A$4:$A$544,dataforsankey!$P592)</f>
        <v>8.1089677402414878E-2</v>
      </c>
      <c r="P592" t="s">
        <v>19</v>
      </c>
      <c r="S592" t="s">
        <v>891</v>
      </c>
      <c r="T592" t="s">
        <v>18</v>
      </c>
      <c r="U592" s="11">
        <f t="shared" si="50"/>
        <v>0</v>
      </c>
      <c r="V592" t="s">
        <v>10</v>
      </c>
      <c r="Y592" t="s">
        <v>872</v>
      </c>
      <c r="Z592" t="s">
        <v>99</v>
      </c>
      <c r="AA592" s="11">
        <f t="shared" si="48"/>
        <v>5.208942626728095E-3</v>
      </c>
      <c r="AB592" t="s">
        <v>11</v>
      </c>
      <c r="AE592" t="s">
        <v>872</v>
      </c>
      <c r="AF592" t="s">
        <v>99</v>
      </c>
      <c r="AG592" s="11">
        <f t="shared" si="49"/>
        <v>5.208942626728095E-3</v>
      </c>
      <c r="AH592" t="s">
        <v>11</v>
      </c>
    </row>
    <row r="593" spans="13:34" x14ac:dyDescent="0.2">
      <c r="M593" t="s">
        <v>99</v>
      </c>
      <c r="N593" s="11" t="str">
        <f>IF($M593=PlasticsUse!$D$93,Conversions!$A$17,IF($M593=PlasticsUse!$L$93,Conversions!$A$18,Conversions!$A$16))</f>
        <v>Transfer Station</v>
      </c>
      <c r="O593" s="11">
        <f>SUMIFS('CompilationCalcs - Di et al.EOL'!$F$4:$F$544,'CompilationCalcs - Di et al.EOL'!$C$4:$C$544,dataforsankey!$M593,'CompilationCalcs - Di et al.EOL'!$E$4:$E$544,$N593,'CompilationCalcs - Di et al.EOL'!$A$4:$A$544,dataforsankey!$P593)</f>
        <v>0.19730506079873464</v>
      </c>
      <c r="P593" t="s">
        <v>19</v>
      </c>
      <c r="S593" t="s">
        <v>891</v>
      </c>
      <c r="T593" t="s">
        <v>38</v>
      </c>
      <c r="U593" s="11">
        <f t="shared" si="50"/>
        <v>0</v>
      </c>
      <c r="V593" t="s">
        <v>11</v>
      </c>
      <c r="Y593" t="s">
        <v>872</v>
      </c>
      <c r="Z593" t="s">
        <v>69</v>
      </c>
      <c r="AA593" s="11">
        <f t="shared" si="48"/>
        <v>5.208942626728095E-3</v>
      </c>
      <c r="AB593" t="s">
        <v>11</v>
      </c>
      <c r="AE593" t="s">
        <v>872</v>
      </c>
      <c r="AF593" t="s">
        <v>69</v>
      </c>
      <c r="AG593" s="11">
        <f t="shared" si="49"/>
        <v>5.208942626728095E-3</v>
      </c>
      <c r="AH593" t="s">
        <v>11</v>
      </c>
    </row>
    <row r="594" spans="13:34" x14ac:dyDescent="0.2">
      <c r="M594" t="s">
        <v>69</v>
      </c>
      <c r="N594" s="11" t="str">
        <f>IF($M594=PlasticsUse!$D$93,Conversions!$A$17,IF($M594=PlasticsUse!$L$93,Conversions!$A$18,Conversions!$A$16))</f>
        <v>Automotive Shredding Facility</v>
      </c>
      <c r="O594" s="11">
        <f>SUMIFS('CompilationCalcs - Di et al.EOL'!$F$4:$F$544,'CompilationCalcs - Di et al.EOL'!$C$4:$C$544,dataforsankey!$M594,'CompilationCalcs - Di et al.EOL'!$E$4:$E$544,$N594,'CompilationCalcs - Di et al.EOL'!$A$4:$A$544,dataforsankey!$P594)</f>
        <v>0.21394776948275829</v>
      </c>
      <c r="P594" t="s">
        <v>19</v>
      </c>
      <c r="S594" t="s">
        <v>891</v>
      </c>
      <c r="T594" t="s">
        <v>99</v>
      </c>
      <c r="U594" s="11">
        <f t="shared" si="50"/>
        <v>2.4909913670409754E-2</v>
      </c>
      <c r="V594" t="s">
        <v>11</v>
      </c>
      <c r="Y594" t="s">
        <v>872</v>
      </c>
      <c r="Z594" t="s">
        <v>100</v>
      </c>
      <c r="AA594" s="11">
        <f t="shared" ref="AA594:AA657" si="53">SUMIFS($O$23:$O$953,$M$23:$M$953,Y594,$N$23:$N$953,Z594,$P$23:$P$953,AB594)</f>
        <v>5.208942626728095E-3</v>
      </c>
      <c r="AB594" t="s">
        <v>11</v>
      </c>
      <c r="AE594" t="s">
        <v>872</v>
      </c>
      <c r="AF594" t="s">
        <v>100</v>
      </c>
      <c r="AG594" s="11">
        <f t="shared" ref="AG594:AG657" si="54">SUMIFS($O$23:$O$953,$M$23:$M$953,AE594,$N$23:$N$953,AF594,$P$23:$P$953,AH594)</f>
        <v>5.208942626728095E-3</v>
      </c>
      <c r="AH594" t="s">
        <v>11</v>
      </c>
    </row>
    <row r="595" spans="13:34" x14ac:dyDescent="0.2">
      <c r="M595" t="s">
        <v>100</v>
      </c>
      <c r="N595" s="11" t="str">
        <f>IF($M595=PlasticsUse!$D$93,Conversions!$A$17,IF($M595=PlasticsUse!$L$93,Conversions!$A$18,Conversions!$A$16))</f>
        <v>Transfer Station</v>
      </c>
      <c r="O595" s="11">
        <f>SUMIFS('CompilationCalcs - Di et al.EOL'!$F$4:$F$544,'CompilationCalcs - Di et al.EOL'!$C$4:$C$544,dataforsankey!$M595,'CompilationCalcs - Di et al.EOL'!$E$4:$E$544,$N595,'CompilationCalcs - Di et al.EOL'!$A$4:$A$544,dataforsankey!$P595)</f>
        <v>0.15706700912454141</v>
      </c>
      <c r="P595" t="s">
        <v>19</v>
      </c>
      <c r="S595" t="s">
        <v>891</v>
      </c>
      <c r="T595" t="s">
        <v>69</v>
      </c>
      <c r="U595" s="11">
        <f t="shared" si="50"/>
        <v>5.1753478062717115E-2</v>
      </c>
      <c r="V595" t="s">
        <v>11</v>
      </c>
      <c r="Y595" t="s">
        <v>872</v>
      </c>
      <c r="Z595" t="s">
        <v>39</v>
      </c>
      <c r="AA595" s="11">
        <f t="shared" si="53"/>
        <v>5.208942626728095E-3</v>
      </c>
      <c r="AB595" t="s">
        <v>11</v>
      </c>
      <c r="AE595" t="s">
        <v>872</v>
      </c>
      <c r="AF595" t="s">
        <v>39</v>
      </c>
      <c r="AG595" s="11">
        <f t="shared" si="54"/>
        <v>5.208942626728095E-3</v>
      </c>
      <c r="AH595" t="s">
        <v>11</v>
      </c>
    </row>
    <row r="596" spans="13:34" x14ac:dyDescent="0.2">
      <c r="M596" t="s">
        <v>39</v>
      </c>
      <c r="N596" s="11" t="str">
        <f>IF($M596=PlasticsUse!$D$93,Conversions!$A$17,IF($M596=PlasticsUse!$L$93,Conversions!$A$18,Conversions!$A$16))</f>
        <v>Transfer Station</v>
      </c>
      <c r="O596" s="11">
        <f>SUMIFS('CompilationCalcs - Di et al.EOL'!$F$4:$F$544,'CompilationCalcs - Di et al.EOL'!$C$4:$C$544,dataforsankey!$M596,'CompilationCalcs - Di et al.EOL'!$E$4:$E$544,$N596,'CompilationCalcs - Di et al.EOL'!$A$4:$A$544,dataforsankey!$P596)</f>
        <v>0.13053898661517407</v>
      </c>
      <c r="P596" t="s">
        <v>19</v>
      </c>
      <c r="S596" t="s">
        <v>891</v>
      </c>
      <c r="T596" t="s">
        <v>100</v>
      </c>
      <c r="U596" s="11">
        <f t="shared" si="50"/>
        <v>0</v>
      </c>
      <c r="V596" t="s">
        <v>11</v>
      </c>
      <c r="Y596" t="s">
        <v>872</v>
      </c>
      <c r="Z596" t="s">
        <v>68</v>
      </c>
      <c r="AA596" s="11">
        <f t="shared" si="53"/>
        <v>5.208942626728095E-3</v>
      </c>
      <c r="AB596" t="s">
        <v>11</v>
      </c>
      <c r="AE596" t="s">
        <v>872</v>
      </c>
      <c r="AF596" t="s">
        <v>68</v>
      </c>
      <c r="AG596" s="11">
        <f t="shared" si="54"/>
        <v>5.208942626728095E-3</v>
      </c>
      <c r="AH596" t="s">
        <v>11</v>
      </c>
    </row>
    <row r="597" spans="13:34" x14ac:dyDescent="0.2">
      <c r="M597" t="s">
        <v>68</v>
      </c>
      <c r="N597" s="11" t="str">
        <f>IF($M597=PlasticsUse!$D$93,Conversions!$A$17,IF($M597=PlasticsUse!$L$93,Conversions!$A$18,Conversions!$A$16))</f>
        <v>Transfer Station</v>
      </c>
      <c r="O597" s="11">
        <f>SUMIFS('CompilationCalcs - Di et al.EOL'!$F$4:$F$544,'CompilationCalcs - Di et al.EOL'!$C$4:$C$544,dataforsankey!$M597,'CompilationCalcs - Di et al.EOL'!$E$4:$E$544,$N597,'CompilationCalcs - Di et al.EOL'!$A$4:$A$544,dataforsankey!$P597)</f>
        <v>0.22293618003030377</v>
      </c>
      <c r="P597" t="s">
        <v>19</v>
      </c>
      <c r="S597" t="s">
        <v>891</v>
      </c>
      <c r="T597" t="s">
        <v>39</v>
      </c>
      <c r="U597" s="11">
        <f t="shared" si="50"/>
        <v>4.0433925559432857E-2</v>
      </c>
      <c r="V597" t="s">
        <v>11</v>
      </c>
      <c r="Y597" t="s">
        <v>872</v>
      </c>
      <c r="Z597" t="s">
        <v>63</v>
      </c>
      <c r="AA597" s="11">
        <f t="shared" si="53"/>
        <v>5.208942626728095E-3</v>
      </c>
      <c r="AB597" t="s">
        <v>11</v>
      </c>
      <c r="AE597" t="s">
        <v>872</v>
      </c>
      <c r="AF597" t="s">
        <v>63</v>
      </c>
      <c r="AG597" s="11">
        <f t="shared" si="54"/>
        <v>5.208942626728095E-3</v>
      </c>
      <c r="AH597" t="s">
        <v>11</v>
      </c>
    </row>
    <row r="598" spans="13:34" x14ac:dyDescent="0.2">
      <c r="M598" t="s">
        <v>63</v>
      </c>
      <c r="N598" s="11" t="str">
        <f>IF($M598=PlasticsUse!$D$93,Conversions!$A$17,IF($M598=PlasticsUse!$L$93,Conversions!$A$18,Conversions!$A$16))</f>
        <v>Transfer Station</v>
      </c>
      <c r="O598" s="11">
        <f>SUMIFS('CompilationCalcs - Di et al.EOL'!$F$4:$F$544,'CompilationCalcs - Di et al.EOL'!$C$4:$C$544,dataforsankey!$M598,'CompilationCalcs - Di et al.EOL'!$E$4:$E$544,$N598,'CompilationCalcs - Di et al.EOL'!$A$4:$A$544,dataforsankey!$P598)</f>
        <v>0.20400517790002873</v>
      </c>
      <c r="P598" t="s">
        <v>19</v>
      </c>
      <c r="S598" t="s">
        <v>891</v>
      </c>
      <c r="T598" t="s">
        <v>68</v>
      </c>
      <c r="U598" s="11">
        <f t="shared" si="50"/>
        <v>6.6089497823632645E-2</v>
      </c>
      <c r="V598" t="s">
        <v>11</v>
      </c>
      <c r="Y598" t="s">
        <v>872</v>
      </c>
      <c r="Z598" t="s">
        <v>92</v>
      </c>
      <c r="AA598" s="11">
        <f t="shared" si="53"/>
        <v>5.208942626728095E-3</v>
      </c>
      <c r="AB598" t="s">
        <v>11</v>
      </c>
      <c r="AE598" t="s">
        <v>872</v>
      </c>
      <c r="AF598" t="s">
        <v>92</v>
      </c>
      <c r="AG598" s="11">
        <f t="shared" si="54"/>
        <v>5.208942626728095E-3</v>
      </c>
      <c r="AH598" t="s">
        <v>11</v>
      </c>
    </row>
    <row r="599" spans="13:34" x14ac:dyDescent="0.2">
      <c r="M599" t="s">
        <v>92</v>
      </c>
      <c r="N599" s="11" t="str">
        <f>IF($M599=PlasticsUse!$D$93,Conversions!$A$17,IF($M599=PlasticsUse!$L$93,Conversions!$A$18,Conversions!$A$16))</f>
        <v>Transfer Station</v>
      </c>
      <c r="O599" s="11">
        <f>SUMIFS('CompilationCalcs - Di et al.EOL'!$F$4:$F$544,'CompilationCalcs - Di et al.EOL'!$C$4:$C$544,dataforsankey!$M599,'CompilationCalcs - Di et al.EOL'!$E$4:$E$544,$N599,'CompilationCalcs - Di et al.EOL'!$A$4:$A$544,dataforsankey!$P599)</f>
        <v>0.17650526558722152</v>
      </c>
      <c r="P599" t="s">
        <v>19</v>
      </c>
      <c r="S599" t="s">
        <v>891</v>
      </c>
      <c r="T599" t="s">
        <v>63</v>
      </c>
      <c r="U599" s="11">
        <f t="shared" ref="U599:U662" si="55">SUMIFS($O$23:$O$935,$M$23:$M$935,S599,$N$23:$N$935,T599,$P$23:$P$935,V599)</f>
        <v>2.4797480951771828E-2</v>
      </c>
      <c r="V599" t="s">
        <v>11</v>
      </c>
      <c r="Y599" t="s">
        <v>872</v>
      </c>
      <c r="Z599" t="s">
        <v>103</v>
      </c>
      <c r="AA599" s="11">
        <f t="shared" si="53"/>
        <v>0</v>
      </c>
      <c r="AB599" t="s">
        <v>11</v>
      </c>
      <c r="AE599" t="s">
        <v>872</v>
      </c>
      <c r="AF599" t="s">
        <v>103</v>
      </c>
      <c r="AG599" s="11">
        <f t="shared" si="54"/>
        <v>0</v>
      </c>
      <c r="AH599" t="s">
        <v>11</v>
      </c>
    </row>
    <row r="600" spans="13:34" x14ac:dyDescent="0.2">
      <c r="M600" t="s">
        <v>103</v>
      </c>
      <c r="N600" s="11" t="str">
        <f>IF($M600=PlasticsUse!$D$93,Conversions!$A$17,IF($M600=PlasticsUse!$L$93,Conversions!$A$18,Conversions!$A$16))</f>
        <v>Transfer Station</v>
      </c>
      <c r="O600" s="11">
        <f>SUMIFS('CompilationCalcs - Di et al.EOL'!$F$4:$F$544,'CompilationCalcs - Di et al.EOL'!$C$4:$C$544,dataforsankey!$M600,'CompilationCalcs - Di et al.EOL'!$E$4:$E$544,$N600,'CompilationCalcs - Di et al.EOL'!$A$4:$A$544,dataforsankey!$P600)</f>
        <v>0</v>
      </c>
      <c r="P600" t="s">
        <v>19</v>
      </c>
      <c r="S600" t="s">
        <v>891</v>
      </c>
      <c r="T600" t="s">
        <v>92</v>
      </c>
      <c r="U600" s="11">
        <f t="shared" si="55"/>
        <v>0</v>
      </c>
      <c r="V600" t="s">
        <v>11</v>
      </c>
      <c r="Y600" t="s">
        <v>872</v>
      </c>
      <c r="Z600" t="s">
        <v>86</v>
      </c>
      <c r="AA600" s="11">
        <f t="shared" si="53"/>
        <v>5.208942626728095E-3</v>
      </c>
      <c r="AB600" t="s">
        <v>11</v>
      </c>
      <c r="AE600" t="s">
        <v>872</v>
      </c>
      <c r="AF600" t="s">
        <v>86</v>
      </c>
      <c r="AG600" s="11">
        <f t="shared" si="54"/>
        <v>5.208942626728095E-3</v>
      </c>
      <c r="AH600" t="s">
        <v>11</v>
      </c>
    </row>
    <row r="601" spans="13:34" x14ac:dyDescent="0.2">
      <c r="M601" t="s">
        <v>86</v>
      </c>
      <c r="N601" s="11" t="str">
        <f>IF($M601=PlasticsUse!$D$93,Conversions!$A$17,IF($M601=PlasticsUse!$L$93,Conversions!$A$18,Conversions!$A$16))</f>
        <v>Transfer Station</v>
      </c>
      <c r="O601" s="11">
        <f>SUMIFS('CompilationCalcs - Di et al.EOL'!$F$4:$F$544,'CompilationCalcs - Di et al.EOL'!$C$4:$C$544,dataforsankey!$M601,'CompilationCalcs - Di et al.EOL'!$E$4:$E$544,$N601,'CompilationCalcs - Di et al.EOL'!$A$4:$A$544,dataforsankey!$P601)</f>
        <v>0.17650526558722152</v>
      </c>
      <c r="P601" t="s">
        <v>19</v>
      </c>
      <c r="S601" t="s">
        <v>891</v>
      </c>
      <c r="T601" t="s">
        <v>103</v>
      </c>
      <c r="U601" s="11">
        <f t="shared" si="55"/>
        <v>0</v>
      </c>
      <c r="V601" t="s">
        <v>11</v>
      </c>
      <c r="Y601" t="s">
        <v>872</v>
      </c>
      <c r="Z601" t="s">
        <v>18</v>
      </c>
      <c r="AA601" s="11">
        <f t="shared" si="53"/>
        <v>5.208942626728095E-3</v>
      </c>
      <c r="AB601" t="s">
        <v>11</v>
      </c>
      <c r="AE601" t="s">
        <v>872</v>
      </c>
      <c r="AF601" t="s">
        <v>18</v>
      </c>
      <c r="AG601" s="11">
        <f t="shared" si="54"/>
        <v>5.208942626728095E-3</v>
      </c>
      <c r="AH601" t="s">
        <v>11</v>
      </c>
    </row>
    <row r="602" spans="13:34" x14ac:dyDescent="0.2">
      <c r="M602" t="s">
        <v>38</v>
      </c>
      <c r="N602" s="11" t="str">
        <f>IF($M602=PlasticsUse!$D$93,Conversions!$A$17,IF($M602=PlasticsUse!$L$93,Conversions!$A$18,Conversions!$A$16))</f>
        <v>Transfer Station</v>
      </c>
      <c r="O602" s="11">
        <f>SUMIFS('CompilationCalcs - Di et al.EOL'!$F$4:$F$544,'CompilationCalcs - Di et al.EOL'!$C$4:$C$544,dataforsankey!$M602,'CompilationCalcs - Di et al.EOL'!$E$4:$E$544,$N602,'CompilationCalcs - Di et al.EOL'!$A$4:$A$544,dataforsankey!$P602)</f>
        <v>0.11339997340437069</v>
      </c>
      <c r="P602" t="s">
        <v>1</v>
      </c>
      <c r="S602" t="s">
        <v>891</v>
      </c>
      <c r="T602" t="s">
        <v>86</v>
      </c>
      <c r="U602" s="11">
        <f t="shared" si="55"/>
        <v>0</v>
      </c>
      <c r="V602" t="s">
        <v>11</v>
      </c>
      <c r="Y602" t="s">
        <v>872</v>
      </c>
      <c r="Z602" t="s">
        <v>38</v>
      </c>
      <c r="AA602" s="11">
        <f t="shared" si="53"/>
        <v>1.0892722112880006E-2</v>
      </c>
      <c r="AB602" t="s">
        <v>25</v>
      </c>
      <c r="AE602" t="s">
        <v>872</v>
      </c>
      <c r="AF602" t="s">
        <v>38</v>
      </c>
      <c r="AG602" s="11">
        <f t="shared" si="54"/>
        <v>1.0892722112880006E-2</v>
      </c>
      <c r="AH602" t="s">
        <v>25</v>
      </c>
    </row>
    <row r="603" spans="13:34" x14ac:dyDescent="0.2">
      <c r="M603" t="s">
        <v>99</v>
      </c>
      <c r="N603" s="11" t="str">
        <f>IF($M603=PlasticsUse!$D$93,Conversions!$A$17,IF($M603=PlasticsUse!$L$93,Conversions!$A$18,Conversions!$A$16))</f>
        <v>Transfer Station</v>
      </c>
      <c r="O603" s="11">
        <f>SUMIFS('CompilationCalcs - Di et al.EOL'!$F$4:$F$544,'CompilationCalcs - Di et al.EOL'!$C$4:$C$544,dataforsankey!$M603,'CompilationCalcs - Di et al.EOL'!$E$4:$E$544,$N603,'CompilationCalcs - Di et al.EOL'!$A$4:$A$544,dataforsankey!$P603)</f>
        <v>0.27592153975516903</v>
      </c>
      <c r="P603" t="s">
        <v>1</v>
      </c>
      <c r="S603" t="s">
        <v>891</v>
      </c>
      <c r="T603" t="s">
        <v>18</v>
      </c>
      <c r="U603" s="11">
        <f t="shared" si="55"/>
        <v>0</v>
      </c>
      <c r="V603" t="s">
        <v>11</v>
      </c>
      <c r="Y603" t="s">
        <v>872</v>
      </c>
      <c r="Z603" t="s">
        <v>99</v>
      </c>
      <c r="AA603" s="11">
        <f t="shared" si="53"/>
        <v>1.0892722112880006E-2</v>
      </c>
      <c r="AB603" t="s">
        <v>25</v>
      </c>
      <c r="AE603" t="s">
        <v>872</v>
      </c>
      <c r="AF603" t="s">
        <v>99</v>
      </c>
      <c r="AG603" s="11">
        <f t="shared" si="54"/>
        <v>1.0892722112880006E-2</v>
      </c>
      <c r="AH603" t="s">
        <v>25</v>
      </c>
    </row>
    <row r="604" spans="13:34" x14ac:dyDescent="0.2">
      <c r="M604" t="s">
        <v>69</v>
      </c>
      <c r="N604" s="11" t="str">
        <f>IF($M604=PlasticsUse!$D$93,Conversions!$A$17,IF($M604=PlasticsUse!$L$93,Conversions!$A$18,Conversions!$A$16))</f>
        <v>Automotive Shredding Facility</v>
      </c>
      <c r="O604" s="11">
        <f>SUMIFS('CompilationCalcs - Di et al.EOL'!$F$4:$F$544,'CompilationCalcs - Di et al.EOL'!$C$4:$C$544,dataforsankey!$M604,'CompilationCalcs - Di et al.EOL'!$E$4:$E$544,$N604,'CompilationCalcs - Di et al.EOL'!$A$4:$A$544,dataforsankey!$P604)</f>
        <v>0.29919555911991708</v>
      </c>
      <c r="P604" t="s">
        <v>1</v>
      </c>
      <c r="S604" t="s">
        <v>891</v>
      </c>
      <c r="T604" t="s">
        <v>38</v>
      </c>
      <c r="U604" s="11">
        <f t="shared" si="55"/>
        <v>0</v>
      </c>
      <c r="V604" t="s">
        <v>25</v>
      </c>
      <c r="Y604" t="s">
        <v>872</v>
      </c>
      <c r="Z604" t="s">
        <v>69</v>
      </c>
      <c r="AA604" s="11">
        <f t="shared" si="53"/>
        <v>1.0892722112880006E-2</v>
      </c>
      <c r="AB604" t="s">
        <v>25</v>
      </c>
      <c r="AE604" t="s">
        <v>872</v>
      </c>
      <c r="AF604" t="s">
        <v>69</v>
      </c>
      <c r="AG604" s="11">
        <f t="shared" si="54"/>
        <v>1.0892722112880006E-2</v>
      </c>
      <c r="AH604" t="s">
        <v>25</v>
      </c>
    </row>
    <row r="605" spans="13:34" x14ac:dyDescent="0.2">
      <c r="M605" t="s">
        <v>100</v>
      </c>
      <c r="N605" s="11" t="str">
        <f>IF($M605=PlasticsUse!$D$93,Conversions!$A$17,IF($M605=PlasticsUse!$L$93,Conversions!$A$18,Conversions!$A$16))</f>
        <v>Transfer Station</v>
      </c>
      <c r="O605" s="11">
        <f>SUMIFS('CompilationCalcs - Di et al.EOL'!$F$4:$F$544,'CompilationCalcs - Di et al.EOL'!$C$4:$C$544,dataforsankey!$M605,'CompilationCalcs - Di et al.EOL'!$E$4:$E$544,$N605,'CompilationCalcs - Di et al.EOL'!$A$4:$A$544,dataforsankey!$P605)</f>
        <v>0.21965057980236355</v>
      </c>
      <c r="P605" t="s">
        <v>1</v>
      </c>
      <c r="S605" t="s">
        <v>891</v>
      </c>
      <c r="T605" t="s">
        <v>99</v>
      </c>
      <c r="U605" s="11">
        <f t="shared" si="55"/>
        <v>2.5579703599599934E-2</v>
      </c>
      <c r="V605" t="s">
        <v>25</v>
      </c>
      <c r="Y605" t="s">
        <v>872</v>
      </c>
      <c r="Z605" t="s">
        <v>100</v>
      </c>
      <c r="AA605" s="11">
        <f t="shared" si="53"/>
        <v>1.0892722112880006E-2</v>
      </c>
      <c r="AB605" t="s">
        <v>25</v>
      </c>
      <c r="AE605" t="s">
        <v>872</v>
      </c>
      <c r="AF605" t="s">
        <v>100</v>
      </c>
      <c r="AG605" s="11">
        <f t="shared" si="54"/>
        <v>1.0892722112880006E-2</v>
      </c>
      <c r="AH605" t="s">
        <v>25</v>
      </c>
    </row>
    <row r="606" spans="13:34" x14ac:dyDescent="0.2">
      <c r="M606" t="s">
        <v>39</v>
      </c>
      <c r="N606" s="11" t="str">
        <f>IF($M606=PlasticsUse!$D$93,Conversions!$A$17,IF($M606=PlasticsUse!$L$93,Conversions!$A$18,Conversions!$A$16))</f>
        <v>Transfer Station</v>
      </c>
      <c r="O606" s="11">
        <f>SUMIFS('CompilationCalcs - Di et al.EOL'!$F$4:$F$544,'CompilationCalcs - Di et al.EOL'!$C$4:$C$544,dataforsankey!$M606,'CompilationCalcs - Di et al.EOL'!$E$4:$E$544,$N606,'CompilationCalcs - Di et al.EOL'!$A$4:$A$544,dataforsankey!$P606)</f>
        <v>0.35090648274525166</v>
      </c>
      <c r="P606" t="s">
        <v>1</v>
      </c>
      <c r="S606" t="s">
        <v>891</v>
      </c>
      <c r="T606" t="s">
        <v>69</v>
      </c>
      <c r="U606" s="11">
        <f t="shared" si="55"/>
        <v>5.3145050866445859E-2</v>
      </c>
      <c r="V606" t="s">
        <v>25</v>
      </c>
      <c r="Y606" t="s">
        <v>872</v>
      </c>
      <c r="Z606" t="s">
        <v>39</v>
      </c>
      <c r="AA606" s="11">
        <f t="shared" si="53"/>
        <v>1.0892722112880006E-2</v>
      </c>
      <c r="AB606" t="s">
        <v>25</v>
      </c>
      <c r="AE606" t="s">
        <v>872</v>
      </c>
      <c r="AF606" t="s">
        <v>39</v>
      </c>
      <c r="AG606" s="11">
        <f t="shared" si="54"/>
        <v>1.0892722112880006E-2</v>
      </c>
      <c r="AH606" t="s">
        <v>25</v>
      </c>
    </row>
    <row r="607" spans="13:34" x14ac:dyDescent="0.2">
      <c r="M607" t="s">
        <v>68</v>
      </c>
      <c r="N607" s="11" t="str">
        <f>IF($M607=PlasticsUse!$D$93,Conversions!$A$17,IF($M607=PlasticsUse!$L$93,Conversions!$A$18,Conversions!$A$16))</f>
        <v>Transfer Station</v>
      </c>
      <c r="O607" s="11">
        <f>SUMIFS('CompilationCalcs - Di et al.EOL'!$F$4:$F$544,'CompilationCalcs - Di et al.EOL'!$C$4:$C$544,dataforsankey!$M607,'CompilationCalcs - Di et al.EOL'!$E$4:$E$544,$N607,'CompilationCalcs - Di et al.EOL'!$A$4:$A$544,dataforsankey!$P607)</f>
        <v>0.31176541449103817</v>
      </c>
      <c r="P607" t="s">
        <v>1</v>
      </c>
      <c r="S607" t="s">
        <v>891</v>
      </c>
      <c r="T607" t="s">
        <v>100</v>
      </c>
      <c r="U607" s="11">
        <f t="shared" si="55"/>
        <v>0</v>
      </c>
      <c r="V607" t="s">
        <v>25</v>
      </c>
      <c r="Y607" t="s">
        <v>872</v>
      </c>
      <c r="Z607" t="s">
        <v>68</v>
      </c>
      <c r="AA607" s="11">
        <f t="shared" si="53"/>
        <v>1.0892722112880006E-2</v>
      </c>
      <c r="AB607" t="s">
        <v>25</v>
      </c>
      <c r="AE607" t="s">
        <v>872</v>
      </c>
      <c r="AF607" t="s">
        <v>68</v>
      </c>
      <c r="AG607" s="11">
        <f t="shared" si="54"/>
        <v>1.0892722112880006E-2</v>
      </c>
      <c r="AH607" t="s">
        <v>25</v>
      </c>
    </row>
    <row r="608" spans="13:34" x14ac:dyDescent="0.2">
      <c r="M608" t="s">
        <v>63</v>
      </c>
      <c r="N608" s="11" t="str">
        <f>IF($M608=PlasticsUse!$D$93,Conversions!$A$17,IF($M608=PlasticsUse!$L$93,Conversions!$A$18,Conversions!$A$16))</f>
        <v>Transfer Station</v>
      </c>
      <c r="O608" s="11">
        <f>SUMIFS('CompilationCalcs - Di et al.EOL'!$F$4:$F$544,'CompilationCalcs - Di et al.EOL'!$C$4:$C$544,dataforsankey!$M608,'CompilationCalcs - Di et al.EOL'!$E$4:$E$544,$N608,'CompilationCalcs - Di et al.EOL'!$A$4:$A$544,dataforsankey!$P608)</f>
        <v>0.28529132793822443</v>
      </c>
      <c r="P608" t="s">
        <v>1</v>
      </c>
      <c r="S608" t="s">
        <v>891</v>
      </c>
      <c r="T608" t="s">
        <v>39</v>
      </c>
      <c r="U608" s="11">
        <f t="shared" si="55"/>
        <v>4.1521132704976045E-2</v>
      </c>
      <c r="V608" t="s">
        <v>25</v>
      </c>
      <c r="Y608" t="s">
        <v>872</v>
      </c>
      <c r="Z608" t="s">
        <v>63</v>
      </c>
      <c r="AA608" s="11">
        <f t="shared" si="53"/>
        <v>1.0892722112880006E-2</v>
      </c>
      <c r="AB608" t="s">
        <v>25</v>
      </c>
      <c r="AE608" t="s">
        <v>872</v>
      </c>
      <c r="AF608" t="s">
        <v>63</v>
      </c>
      <c r="AG608" s="11">
        <f t="shared" si="54"/>
        <v>1.0892722112880006E-2</v>
      </c>
      <c r="AH608" t="s">
        <v>25</v>
      </c>
    </row>
    <row r="609" spans="13:34" x14ac:dyDescent="0.2">
      <c r="M609" t="s">
        <v>92</v>
      </c>
      <c r="N609" s="11" t="str">
        <f>IF($M609=PlasticsUse!$D$93,Conversions!$A$17,IF($M609=PlasticsUse!$L$93,Conversions!$A$18,Conversions!$A$16))</f>
        <v>Transfer Station</v>
      </c>
      <c r="O609" s="11">
        <f>SUMIFS('CompilationCalcs - Di et al.EOL'!$F$4:$F$544,'CompilationCalcs - Di et al.EOL'!$C$4:$C$544,dataforsankey!$M609,'CompilationCalcs - Di et al.EOL'!$E$4:$E$544,$N609,'CompilationCalcs - Di et al.EOL'!$A$4:$A$544,dataforsankey!$P609)</f>
        <v>0.24683403688970937</v>
      </c>
      <c r="P609" t="s">
        <v>1</v>
      </c>
      <c r="S609" t="s">
        <v>891</v>
      </c>
      <c r="T609" t="s">
        <v>68</v>
      </c>
      <c r="U609" s="11">
        <f t="shared" si="55"/>
        <v>6.7866544530947745E-2</v>
      </c>
      <c r="V609" t="s">
        <v>25</v>
      </c>
      <c r="Y609" t="s">
        <v>872</v>
      </c>
      <c r="Z609" t="s">
        <v>92</v>
      </c>
      <c r="AA609" s="11">
        <f t="shared" si="53"/>
        <v>1.0892722112880006E-2</v>
      </c>
      <c r="AB609" t="s">
        <v>25</v>
      </c>
      <c r="AE609" t="s">
        <v>872</v>
      </c>
      <c r="AF609" t="s">
        <v>92</v>
      </c>
      <c r="AG609" s="11">
        <f t="shared" si="54"/>
        <v>1.0892722112880006E-2</v>
      </c>
      <c r="AH609" t="s">
        <v>25</v>
      </c>
    </row>
    <row r="610" spans="13:34" x14ac:dyDescent="0.2">
      <c r="M610" t="s">
        <v>103</v>
      </c>
      <c r="N610" s="11" t="str">
        <f>IF($M610=PlasticsUse!$D$93,Conversions!$A$17,IF($M610=PlasticsUse!$L$93,Conversions!$A$18,Conversions!$A$16))</f>
        <v>Transfer Station</v>
      </c>
      <c r="O610" s="11">
        <f>SUMIFS('CompilationCalcs - Di et al.EOL'!$F$4:$F$544,'CompilationCalcs - Di et al.EOL'!$C$4:$C$544,dataforsankey!$M610,'CompilationCalcs - Di et al.EOL'!$E$4:$E$544,$N610,'CompilationCalcs - Di et al.EOL'!$A$4:$A$544,dataforsankey!$P610)</f>
        <v>0</v>
      </c>
      <c r="P610" t="s">
        <v>1</v>
      </c>
      <c r="S610" t="s">
        <v>891</v>
      </c>
      <c r="T610" t="s">
        <v>63</v>
      </c>
      <c r="U610" s="11">
        <f t="shared" si="55"/>
        <v>2.5464247735091188E-2</v>
      </c>
      <c r="V610" t="s">
        <v>25</v>
      </c>
      <c r="Y610" t="s">
        <v>872</v>
      </c>
      <c r="Z610" t="s">
        <v>103</v>
      </c>
      <c r="AA610" s="11">
        <f t="shared" si="53"/>
        <v>0</v>
      </c>
      <c r="AB610" t="s">
        <v>25</v>
      </c>
      <c r="AE610" t="s">
        <v>872</v>
      </c>
      <c r="AF610" t="s">
        <v>103</v>
      </c>
      <c r="AG610" s="11">
        <f t="shared" si="54"/>
        <v>0</v>
      </c>
      <c r="AH610" t="s">
        <v>25</v>
      </c>
    </row>
    <row r="611" spans="13:34" x14ac:dyDescent="0.2">
      <c r="M611" t="s">
        <v>86</v>
      </c>
      <c r="N611" s="11" t="str">
        <f>IF($M611=PlasticsUse!$D$93,Conversions!$A$17,IF($M611=PlasticsUse!$L$93,Conversions!$A$18,Conversions!$A$16))</f>
        <v>Transfer Station</v>
      </c>
      <c r="O611" s="11">
        <f>SUMIFS('CompilationCalcs - Di et al.EOL'!$F$4:$F$544,'CompilationCalcs - Di et al.EOL'!$C$4:$C$544,dataforsankey!$M611,'CompilationCalcs - Di et al.EOL'!$E$4:$E$544,$N611,'CompilationCalcs - Di et al.EOL'!$A$4:$A$544,dataforsankey!$P611)</f>
        <v>0.24683403688970937</v>
      </c>
      <c r="P611" t="s">
        <v>1</v>
      </c>
      <c r="S611" t="s">
        <v>891</v>
      </c>
      <c r="T611" t="s">
        <v>92</v>
      </c>
      <c r="U611" s="11">
        <f t="shared" si="55"/>
        <v>0</v>
      </c>
      <c r="V611" t="s">
        <v>25</v>
      </c>
      <c r="Y611" t="s">
        <v>872</v>
      </c>
      <c r="Z611" t="s">
        <v>86</v>
      </c>
      <c r="AA611" s="11">
        <f t="shared" si="53"/>
        <v>1.0892722112880006E-2</v>
      </c>
      <c r="AB611" t="s">
        <v>25</v>
      </c>
      <c r="AE611" t="s">
        <v>872</v>
      </c>
      <c r="AF611" t="s">
        <v>86</v>
      </c>
      <c r="AG611" s="11">
        <f t="shared" si="54"/>
        <v>1.0892722112880006E-2</v>
      </c>
      <c r="AH611" t="s">
        <v>25</v>
      </c>
    </row>
    <row r="612" spans="13:34" x14ac:dyDescent="0.2">
      <c r="M612" t="s">
        <v>38</v>
      </c>
      <c r="N612" s="11" t="str">
        <f>IF($M612=PlasticsUse!$D$93,Conversions!$A$17,IF($M612=PlasticsUse!$L$93,Conversions!$A$18,Conversions!$A$16))</f>
        <v>Transfer Station</v>
      </c>
      <c r="O612" s="11">
        <f>SUMIFS('CompilationCalcs - Di et al.EOL'!$F$4:$F$544,'CompilationCalcs - Di et al.EOL'!$C$4:$C$544,dataforsankey!$M612,'CompilationCalcs - Di et al.EOL'!$E$4:$E$544,$N612,'CompilationCalcs - Di et al.EOL'!$A$4:$A$544,dataforsankey!$P612)</f>
        <v>8.7229638114779948E-2</v>
      </c>
      <c r="P612" t="s">
        <v>10</v>
      </c>
      <c r="S612" t="s">
        <v>891</v>
      </c>
      <c r="T612" t="s">
        <v>103</v>
      </c>
      <c r="U612" s="11">
        <f t="shared" si="55"/>
        <v>0</v>
      </c>
      <c r="V612" t="s">
        <v>25</v>
      </c>
      <c r="Y612" t="s">
        <v>872</v>
      </c>
      <c r="Z612" t="s">
        <v>18</v>
      </c>
      <c r="AA612" s="11">
        <f t="shared" si="53"/>
        <v>1.0892722112880006E-2</v>
      </c>
      <c r="AB612" t="s">
        <v>25</v>
      </c>
      <c r="AE612" t="s">
        <v>872</v>
      </c>
      <c r="AF612" t="s">
        <v>18</v>
      </c>
      <c r="AG612" s="11">
        <f t="shared" si="54"/>
        <v>1.0892722112880006E-2</v>
      </c>
      <c r="AH612" t="s">
        <v>25</v>
      </c>
    </row>
    <row r="613" spans="13:34" x14ac:dyDescent="0.2">
      <c r="M613" t="s">
        <v>99</v>
      </c>
      <c r="N613" s="11" t="str">
        <f>IF($M613=PlasticsUse!$D$93,Conversions!$A$17,IF($M613=PlasticsUse!$L$93,Conversions!$A$18,Conversions!$A$16))</f>
        <v>Transfer Station</v>
      </c>
      <c r="O613" s="11">
        <f>SUMIFS('CompilationCalcs - Di et al.EOL'!$F$4:$F$544,'CompilationCalcs - Di et al.EOL'!$C$4:$C$544,dataforsankey!$M613,'CompilationCalcs - Di et al.EOL'!$E$4:$E$544,$N613,'CompilationCalcs - Di et al.EOL'!$A$4:$A$544,dataforsankey!$P613)</f>
        <v>0.21224463585269776</v>
      </c>
      <c r="P613" t="s">
        <v>10</v>
      </c>
      <c r="S613" t="s">
        <v>891</v>
      </c>
      <c r="T613" t="s">
        <v>86</v>
      </c>
      <c r="U613" s="11">
        <f t="shared" si="55"/>
        <v>0</v>
      </c>
      <c r="V613" t="s">
        <v>25</v>
      </c>
      <c r="Y613" t="s">
        <v>872</v>
      </c>
      <c r="Z613" t="s">
        <v>38</v>
      </c>
      <c r="AA613" s="11">
        <f t="shared" si="53"/>
        <v>1.5940084389842124E-2</v>
      </c>
      <c r="AB613" t="s">
        <v>7</v>
      </c>
      <c r="AE613" t="s">
        <v>872</v>
      </c>
      <c r="AF613" t="s">
        <v>38</v>
      </c>
      <c r="AG613" s="11">
        <f t="shared" si="54"/>
        <v>1.5940084389842124E-2</v>
      </c>
      <c r="AH613" t="s">
        <v>7</v>
      </c>
    </row>
    <row r="614" spans="13:34" x14ac:dyDescent="0.2">
      <c r="M614" t="s">
        <v>69</v>
      </c>
      <c r="N614" s="11" t="str">
        <f>IF($M614=PlasticsUse!$D$93,Conversions!$A$17,IF($M614=PlasticsUse!$L$93,Conversions!$A$18,Conversions!$A$16))</f>
        <v>Automotive Shredding Facility</v>
      </c>
      <c r="O614" s="11">
        <f>SUMIFS('CompilationCalcs - Di et al.EOL'!$F$4:$F$544,'CompilationCalcs - Di et al.EOL'!$C$4:$C$544,dataforsankey!$M614,'CompilationCalcs - Di et al.EOL'!$E$4:$E$544,$N614,'CompilationCalcs - Di et al.EOL'!$A$4:$A$544,dataforsankey!$P614)</f>
        <v>0.23014749972219758</v>
      </c>
      <c r="P614" t="s">
        <v>10</v>
      </c>
      <c r="S614" t="s">
        <v>891</v>
      </c>
      <c r="T614" t="s">
        <v>18</v>
      </c>
      <c r="U614" s="11">
        <f t="shared" si="55"/>
        <v>0</v>
      </c>
      <c r="V614" t="s">
        <v>25</v>
      </c>
      <c r="Y614" t="s">
        <v>872</v>
      </c>
      <c r="Z614" t="s">
        <v>99</v>
      </c>
      <c r="AA614" s="11">
        <f t="shared" si="53"/>
        <v>1.5940084389842124E-2</v>
      </c>
      <c r="AB614" t="s">
        <v>7</v>
      </c>
      <c r="AE614" t="s">
        <v>872</v>
      </c>
      <c r="AF614" t="s">
        <v>99</v>
      </c>
      <c r="AG614" s="11">
        <f t="shared" si="54"/>
        <v>1.5940084389842124E-2</v>
      </c>
      <c r="AH614" t="s">
        <v>7</v>
      </c>
    </row>
    <row r="615" spans="13:34" x14ac:dyDescent="0.2">
      <c r="M615" t="s">
        <v>100</v>
      </c>
      <c r="N615" s="11" t="str">
        <f>IF($M615=PlasticsUse!$D$93,Conversions!$A$17,IF($M615=PlasticsUse!$L$93,Conversions!$A$18,Conversions!$A$16))</f>
        <v>Transfer Station</v>
      </c>
      <c r="O615" s="11">
        <f>SUMIFS('CompilationCalcs - Di et al.EOL'!$F$4:$F$544,'CompilationCalcs - Di et al.EOL'!$C$4:$C$544,dataforsankey!$M615,'CompilationCalcs - Di et al.EOL'!$E$4:$E$544,$N615,'CompilationCalcs - Di et al.EOL'!$A$4:$A$544,dataforsankey!$P615)</f>
        <v>0.16895983316979593</v>
      </c>
      <c r="P615" t="s">
        <v>10</v>
      </c>
      <c r="S615" t="s">
        <v>891</v>
      </c>
      <c r="T615" t="s">
        <v>38</v>
      </c>
      <c r="U615" s="11">
        <f t="shared" si="55"/>
        <v>0</v>
      </c>
      <c r="V615" t="s">
        <v>7</v>
      </c>
      <c r="Y615" t="s">
        <v>872</v>
      </c>
      <c r="Z615" t="s">
        <v>69</v>
      </c>
      <c r="AA615" s="11">
        <f t="shared" si="53"/>
        <v>1.5940084389842124E-2</v>
      </c>
      <c r="AB615" t="s">
        <v>7</v>
      </c>
      <c r="AE615" t="s">
        <v>872</v>
      </c>
      <c r="AF615" t="s">
        <v>69</v>
      </c>
      <c r="AG615" s="11">
        <f t="shared" si="54"/>
        <v>1.5940084389842124E-2</v>
      </c>
      <c r="AH615" t="s">
        <v>7</v>
      </c>
    </row>
    <row r="616" spans="13:34" x14ac:dyDescent="0.2">
      <c r="M616" t="s">
        <v>39</v>
      </c>
      <c r="N616" s="11" t="str">
        <f>IF($M616=PlasticsUse!$D$93,Conversions!$A$17,IF($M616=PlasticsUse!$L$93,Conversions!$A$18,Conversions!$A$16))</f>
        <v>Transfer Station</v>
      </c>
      <c r="O616" s="11">
        <f>SUMIFS('CompilationCalcs - Di et al.EOL'!$F$4:$F$544,'CompilationCalcs - Di et al.EOL'!$C$4:$C$544,dataforsankey!$M616,'CompilationCalcs - Di et al.EOL'!$E$4:$E$544,$N616,'CompilationCalcs - Di et al.EOL'!$A$4:$A$544,dataforsankey!$P616)</f>
        <v>0.26992462681493734</v>
      </c>
      <c r="P616" t="s">
        <v>10</v>
      </c>
      <c r="S616" t="s">
        <v>891</v>
      </c>
      <c r="T616" t="s">
        <v>99</v>
      </c>
      <c r="U616" s="11">
        <f t="shared" si="55"/>
        <v>2.6174496629540731E-2</v>
      </c>
      <c r="V616" t="s">
        <v>7</v>
      </c>
      <c r="Y616" t="s">
        <v>872</v>
      </c>
      <c r="Z616" t="s">
        <v>100</v>
      </c>
      <c r="AA616" s="11">
        <f t="shared" si="53"/>
        <v>1.5940084389842124E-2</v>
      </c>
      <c r="AB616" t="s">
        <v>7</v>
      </c>
      <c r="AE616" t="s">
        <v>872</v>
      </c>
      <c r="AF616" t="s">
        <v>100</v>
      </c>
      <c r="AG616" s="11">
        <f t="shared" si="54"/>
        <v>1.5940084389842124E-2</v>
      </c>
      <c r="AH616" t="s">
        <v>7</v>
      </c>
    </row>
    <row r="617" spans="13:34" x14ac:dyDescent="0.2">
      <c r="M617" t="s">
        <v>68</v>
      </c>
      <c r="N617" s="11" t="str">
        <f>IF($M617=PlasticsUse!$D$93,Conversions!$A$17,IF($M617=PlasticsUse!$L$93,Conversions!$A$18,Conversions!$A$16))</f>
        <v>Transfer Station</v>
      </c>
      <c r="O617" s="11">
        <f>SUMIFS('CompilationCalcs - Di et al.EOL'!$F$4:$F$544,'CompilationCalcs - Di et al.EOL'!$C$4:$C$544,dataforsankey!$M617,'CompilationCalcs - Di et al.EOL'!$E$4:$E$544,$N617,'CompilationCalcs - Di et al.EOL'!$A$4:$A$544,dataforsankey!$P617)</f>
        <v>0.23981649612723338</v>
      </c>
      <c r="P617" t="s">
        <v>10</v>
      </c>
      <c r="S617" t="s">
        <v>891</v>
      </c>
      <c r="T617" t="s">
        <v>69</v>
      </c>
      <c r="U617" s="11">
        <f t="shared" si="55"/>
        <v>5.4380808181151624E-2</v>
      </c>
      <c r="V617" t="s">
        <v>7</v>
      </c>
      <c r="Y617" t="s">
        <v>872</v>
      </c>
      <c r="Z617" t="s">
        <v>39</v>
      </c>
      <c r="AA617" s="11">
        <f t="shared" si="53"/>
        <v>1.5940084389842124E-2</v>
      </c>
      <c r="AB617" t="s">
        <v>7</v>
      </c>
      <c r="AE617" t="s">
        <v>872</v>
      </c>
      <c r="AF617" t="s">
        <v>39</v>
      </c>
      <c r="AG617" s="11">
        <f t="shared" si="54"/>
        <v>1.5940084389842124E-2</v>
      </c>
      <c r="AH617" t="s">
        <v>7</v>
      </c>
    </row>
    <row r="618" spans="13:34" x14ac:dyDescent="0.2">
      <c r="M618" t="s">
        <v>63</v>
      </c>
      <c r="N618" s="11" t="str">
        <f>IF($M618=PlasticsUse!$D$93,Conversions!$A$17,IF($M618=PlasticsUse!$L$93,Conversions!$A$18,Conversions!$A$16))</f>
        <v>Transfer Station</v>
      </c>
      <c r="O618" s="11">
        <f>SUMIFS('CompilationCalcs - Di et al.EOL'!$F$4:$F$544,'CompilationCalcs - Di et al.EOL'!$C$4:$C$544,dataforsankey!$M618,'CompilationCalcs - Di et al.EOL'!$E$4:$E$544,$N618,'CompilationCalcs - Di et al.EOL'!$A$4:$A$544,dataforsankey!$P618)</f>
        <v>0.21945207345504694</v>
      </c>
      <c r="P618" t="s">
        <v>10</v>
      </c>
      <c r="S618" t="s">
        <v>891</v>
      </c>
      <c r="T618" t="s">
        <v>100</v>
      </c>
      <c r="U618" s="11">
        <f t="shared" si="55"/>
        <v>0</v>
      </c>
      <c r="V618" t="s">
        <v>7</v>
      </c>
      <c r="Y618" t="s">
        <v>872</v>
      </c>
      <c r="Z618" t="s">
        <v>68</v>
      </c>
      <c r="AA618" s="11">
        <f t="shared" si="53"/>
        <v>1.5940084389842124E-2</v>
      </c>
      <c r="AB618" t="s">
        <v>7</v>
      </c>
      <c r="AE618" t="s">
        <v>872</v>
      </c>
      <c r="AF618" t="s">
        <v>68</v>
      </c>
      <c r="AG618" s="11">
        <f t="shared" si="54"/>
        <v>1.5940084389842124E-2</v>
      </c>
      <c r="AH618" t="s">
        <v>7</v>
      </c>
    </row>
    <row r="619" spans="13:34" x14ac:dyDescent="0.2">
      <c r="M619" t="s">
        <v>92</v>
      </c>
      <c r="N619" s="11" t="str">
        <f>IF($M619=PlasticsUse!$D$93,Conversions!$A$17,IF($M619=PlasticsUse!$L$93,Conversions!$A$18,Conversions!$A$16))</f>
        <v>Transfer Station</v>
      </c>
      <c r="O619" s="11">
        <f>SUMIFS('CompilationCalcs - Di et al.EOL'!$F$4:$F$544,'CompilationCalcs - Di et al.EOL'!$C$4:$C$544,dataforsankey!$M619,'CompilationCalcs - Di et al.EOL'!$E$4:$E$544,$N619,'CompilationCalcs - Di et al.EOL'!$A$4:$A$544,dataforsankey!$P619)</f>
        <v>0.18986991853623952</v>
      </c>
      <c r="P619" t="s">
        <v>10</v>
      </c>
      <c r="S619" t="s">
        <v>891</v>
      </c>
      <c r="T619" t="s">
        <v>39</v>
      </c>
      <c r="U619" s="11">
        <f t="shared" si="55"/>
        <v>4.2486604420940446E-2</v>
      </c>
      <c r="V619" t="s">
        <v>7</v>
      </c>
      <c r="Y619" t="s">
        <v>872</v>
      </c>
      <c r="Z619" t="s">
        <v>63</v>
      </c>
      <c r="AA619" s="11">
        <f t="shared" si="53"/>
        <v>1.5940084389842124E-2</v>
      </c>
      <c r="AB619" t="s">
        <v>7</v>
      </c>
      <c r="AE619" t="s">
        <v>872</v>
      </c>
      <c r="AF619" t="s">
        <v>63</v>
      </c>
      <c r="AG619" s="11">
        <f t="shared" si="54"/>
        <v>1.5940084389842124E-2</v>
      </c>
      <c r="AH619" t="s">
        <v>7</v>
      </c>
    </row>
    <row r="620" spans="13:34" x14ac:dyDescent="0.2">
      <c r="M620" t="s">
        <v>103</v>
      </c>
      <c r="N620" s="11" t="str">
        <f>IF($M620=PlasticsUse!$D$93,Conversions!$A$17,IF($M620=PlasticsUse!$L$93,Conversions!$A$18,Conversions!$A$16))</f>
        <v>Transfer Station</v>
      </c>
      <c r="O620" s="11">
        <f>SUMIFS('CompilationCalcs - Di et al.EOL'!$F$4:$F$544,'CompilationCalcs - Di et al.EOL'!$C$4:$C$544,dataforsankey!$M620,'CompilationCalcs - Di et al.EOL'!$E$4:$E$544,$N620,'CompilationCalcs - Di et al.EOL'!$A$4:$A$544,dataforsankey!$P620)</f>
        <v>0</v>
      </c>
      <c r="P620" t="s">
        <v>10</v>
      </c>
      <c r="S620" t="s">
        <v>891</v>
      </c>
      <c r="T620" t="s">
        <v>68</v>
      </c>
      <c r="U620" s="11">
        <f t="shared" si="55"/>
        <v>6.9444613936482463E-2</v>
      </c>
      <c r="V620" t="s">
        <v>7</v>
      </c>
      <c r="Y620" t="s">
        <v>872</v>
      </c>
      <c r="Z620" t="s">
        <v>92</v>
      </c>
      <c r="AA620" s="11">
        <f t="shared" si="53"/>
        <v>1.5940084389842124E-2</v>
      </c>
      <c r="AB620" t="s">
        <v>7</v>
      </c>
      <c r="AE620" t="s">
        <v>872</v>
      </c>
      <c r="AF620" t="s">
        <v>92</v>
      </c>
      <c r="AG620" s="11">
        <f t="shared" si="54"/>
        <v>1.5940084389842124E-2</v>
      </c>
      <c r="AH620" t="s">
        <v>7</v>
      </c>
    </row>
    <row r="621" spans="13:34" x14ac:dyDescent="0.2">
      <c r="M621" t="s">
        <v>86</v>
      </c>
      <c r="N621" s="11" t="str">
        <f>IF($M621=PlasticsUse!$D$93,Conversions!$A$17,IF($M621=PlasticsUse!$L$93,Conversions!$A$18,Conversions!$A$16))</f>
        <v>Transfer Station</v>
      </c>
      <c r="O621" s="11">
        <f>SUMIFS('CompilationCalcs - Di et al.EOL'!$F$4:$F$544,'CompilationCalcs - Di et al.EOL'!$C$4:$C$544,dataforsankey!$M621,'CompilationCalcs - Di et al.EOL'!$E$4:$E$544,$N621,'CompilationCalcs - Di et al.EOL'!$A$4:$A$544,dataforsankey!$P621)</f>
        <v>0.18986991853623952</v>
      </c>
      <c r="P621" t="s">
        <v>10</v>
      </c>
      <c r="S621" t="s">
        <v>891</v>
      </c>
      <c r="T621" t="s">
        <v>63</v>
      </c>
      <c r="U621" s="11">
        <f t="shared" si="55"/>
        <v>2.6056356123155343E-2</v>
      </c>
      <c r="V621" t="s">
        <v>7</v>
      </c>
      <c r="Y621" t="s">
        <v>872</v>
      </c>
      <c r="Z621" t="s">
        <v>103</v>
      </c>
      <c r="AA621" s="11">
        <f t="shared" si="53"/>
        <v>0</v>
      </c>
      <c r="AB621" t="s">
        <v>7</v>
      </c>
      <c r="AE621" t="s">
        <v>872</v>
      </c>
      <c r="AF621" t="s">
        <v>103</v>
      </c>
      <c r="AG621" s="11">
        <f t="shared" si="54"/>
        <v>0</v>
      </c>
      <c r="AH621" t="s">
        <v>7</v>
      </c>
    </row>
    <row r="622" spans="13:34" x14ac:dyDescent="0.2">
      <c r="M622" t="s">
        <v>38</v>
      </c>
      <c r="N622" s="11" t="str">
        <f>IF($M622=PlasticsUse!$D$93,Conversions!$A$17,IF($M622=PlasticsUse!$L$93,Conversions!$A$18,Conversions!$A$16))</f>
        <v>Transfer Station</v>
      </c>
      <c r="O622" s="11">
        <f>SUMIFS('CompilationCalcs - Di et al.EOL'!$F$4:$F$544,'CompilationCalcs - Di et al.EOL'!$C$4:$C$544,dataforsankey!$M622,'CompilationCalcs - Di et al.EOL'!$E$4:$E$544,$N622,'CompilationCalcs - Di et al.EOL'!$A$4:$A$544,dataforsankey!$P622)</f>
        <v>8.1377116692720922E-2</v>
      </c>
      <c r="P622" t="s">
        <v>11</v>
      </c>
      <c r="S622" t="s">
        <v>891</v>
      </c>
      <c r="T622" t="s">
        <v>92</v>
      </c>
      <c r="U622" s="11">
        <f t="shared" si="55"/>
        <v>0</v>
      </c>
      <c r="V622" t="s">
        <v>7</v>
      </c>
      <c r="Y622" t="s">
        <v>872</v>
      </c>
      <c r="Z622" t="s">
        <v>86</v>
      </c>
      <c r="AA622" s="11">
        <f t="shared" si="53"/>
        <v>1.5940084389842124E-2</v>
      </c>
      <c r="AB622" t="s">
        <v>7</v>
      </c>
      <c r="AE622" t="s">
        <v>872</v>
      </c>
      <c r="AF622" t="s">
        <v>86</v>
      </c>
      <c r="AG622" s="11">
        <f t="shared" si="54"/>
        <v>1.5940084389842124E-2</v>
      </c>
      <c r="AH622" t="s">
        <v>7</v>
      </c>
    </row>
    <row r="623" spans="13:34" x14ac:dyDescent="0.2">
      <c r="M623" t="s">
        <v>99</v>
      </c>
      <c r="N623" s="11" t="str">
        <f>IF($M623=PlasticsUse!$D$93,Conversions!$A$17,IF($M623=PlasticsUse!$L$93,Conversions!$A$18,Conversions!$A$16))</f>
        <v>Transfer Station</v>
      </c>
      <c r="O623" s="11">
        <f>SUMIFS('CompilationCalcs - Di et al.EOL'!$F$4:$F$544,'CompilationCalcs - Di et al.EOL'!$C$4:$C$544,dataforsankey!$M623,'CompilationCalcs - Di et al.EOL'!$E$4:$E$544,$N623,'CompilationCalcs - Di et al.EOL'!$A$4:$A$544,dataforsankey!$P623)</f>
        <v>0.19800444977728901</v>
      </c>
      <c r="P623" t="s">
        <v>11</v>
      </c>
      <c r="S623" t="s">
        <v>891</v>
      </c>
      <c r="T623" t="s">
        <v>103</v>
      </c>
      <c r="U623" s="11">
        <f t="shared" si="55"/>
        <v>0</v>
      </c>
      <c r="V623" t="s">
        <v>7</v>
      </c>
      <c r="Y623" t="s">
        <v>872</v>
      </c>
      <c r="Z623" t="s">
        <v>18</v>
      </c>
      <c r="AA623" s="11">
        <f t="shared" si="53"/>
        <v>1.5940084389842124E-2</v>
      </c>
      <c r="AB623" t="s">
        <v>7</v>
      </c>
      <c r="AE623" t="s">
        <v>872</v>
      </c>
      <c r="AF623" t="s">
        <v>18</v>
      </c>
      <c r="AG623" s="11">
        <f t="shared" si="54"/>
        <v>1.5940084389842124E-2</v>
      </c>
      <c r="AH623" t="s">
        <v>7</v>
      </c>
    </row>
    <row r="624" spans="13:34" x14ac:dyDescent="0.2">
      <c r="M624" t="s">
        <v>69</v>
      </c>
      <c r="N624" s="11" t="str">
        <f>IF($M624=PlasticsUse!$D$93,Conversions!$A$17,IF($M624=PlasticsUse!$L$93,Conversions!$A$18,Conversions!$A$16))</f>
        <v>Automotive Shredding Facility</v>
      </c>
      <c r="O624" s="11">
        <f>SUMIFS('CompilationCalcs - Di et al.EOL'!$F$4:$F$544,'CompilationCalcs - Di et al.EOL'!$C$4:$C$544,dataforsankey!$M624,'CompilationCalcs - Di et al.EOL'!$E$4:$E$544,$N624,'CompilationCalcs - Di et al.EOL'!$A$4:$A$544,dataforsankey!$P624)</f>
        <v>0.21470615201667198</v>
      </c>
      <c r="P624" t="s">
        <v>11</v>
      </c>
      <c r="S624" t="s">
        <v>891</v>
      </c>
      <c r="T624" t="s">
        <v>86</v>
      </c>
      <c r="U624" s="11">
        <f t="shared" si="55"/>
        <v>0</v>
      </c>
      <c r="V624" t="s">
        <v>7</v>
      </c>
      <c r="Y624" t="s">
        <v>872</v>
      </c>
      <c r="Z624" t="s">
        <v>38</v>
      </c>
      <c r="AA624" s="11">
        <f t="shared" si="53"/>
        <v>0</v>
      </c>
      <c r="AB624" t="s">
        <v>2</v>
      </c>
      <c r="AE624" t="s">
        <v>872</v>
      </c>
      <c r="AF624" t="s">
        <v>38</v>
      </c>
      <c r="AG624" s="11">
        <f t="shared" si="54"/>
        <v>0</v>
      </c>
      <c r="AH624" t="s">
        <v>2</v>
      </c>
    </row>
    <row r="625" spans="13:34" x14ac:dyDescent="0.2">
      <c r="M625" t="s">
        <v>100</v>
      </c>
      <c r="N625" s="11" t="str">
        <f>IF($M625=PlasticsUse!$D$93,Conversions!$A$17,IF($M625=PlasticsUse!$L$93,Conversions!$A$18,Conversions!$A$16))</f>
        <v>Transfer Station</v>
      </c>
      <c r="O625" s="11">
        <f>SUMIFS('CompilationCalcs - Di et al.EOL'!$F$4:$F$544,'CompilationCalcs - Di et al.EOL'!$C$4:$C$544,dataforsankey!$M625,'CompilationCalcs - Di et al.EOL'!$E$4:$E$544,$N625,'CompilationCalcs - Di et al.EOL'!$A$4:$A$544,dataforsankey!$P625)</f>
        <v>0.15762376592860666</v>
      </c>
      <c r="P625" t="s">
        <v>11</v>
      </c>
      <c r="S625" t="s">
        <v>891</v>
      </c>
      <c r="T625" t="s">
        <v>18</v>
      </c>
      <c r="U625" s="11">
        <f t="shared" si="55"/>
        <v>0</v>
      </c>
      <c r="V625" t="s">
        <v>7</v>
      </c>
      <c r="Y625" t="s">
        <v>872</v>
      </c>
      <c r="Z625" t="s">
        <v>99</v>
      </c>
      <c r="AA625" s="11">
        <f t="shared" si="53"/>
        <v>0</v>
      </c>
      <c r="AB625" t="s">
        <v>2</v>
      </c>
      <c r="AE625" t="s">
        <v>872</v>
      </c>
      <c r="AF625" t="s">
        <v>99</v>
      </c>
      <c r="AG625" s="11">
        <f t="shared" si="54"/>
        <v>0</v>
      </c>
      <c r="AH625" t="s">
        <v>2</v>
      </c>
    </row>
    <row r="626" spans="13:34" x14ac:dyDescent="0.2">
      <c r="M626" t="s">
        <v>39</v>
      </c>
      <c r="N626" s="11" t="str">
        <f>IF($M626=PlasticsUse!$D$93,Conversions!$A$17,IF($M626=PlasticsUse!$L$93,Conversions!$A$18,Conversions!$A$16))</f>
        <v>Transfer Station</v>
      </c>
      <c r="O626" s="11">
        <f>SUMIFS('CompilationCalcs - Di et al.EOL'!$F$4:$F$544,'CompilationCalcs - Di et al.EOL'!$C$4:$C$544,dataforsankey!$M626,'CompilationCalcs - Di et al.EOL'!$E$4:$E$544,$N626,'CompilationCalcs - Di et al.EOL'!$A$4:$A$544,dataforsankey!$P626)</f>
        <v>0.2518145016909854</v>
      </c>
      <c r="P626" t="s">
        <v>11</v>
      </c>
      <c r="S626" t="s">
        <v>891</v>
      </c>
      <c r="T626" t="s">
        <v>38</v>
      </c>
      <c r="U626" s="11">
        <f t="shared" si="55"/>
        <v>0</v>
      </c>
      <c r="V626" t="s">
        <v>2</v>
      </c>
      <c r="Y626" t="s">
        <v>872</v>
      </c>
      <c r="Z626" t="s">
        <v>69</v>
      </c>
      <c r="AA626" s="11">
        <f t="shared" si="53"/>
        <v>0</v>
      </c>
      <c r="AB626" t="s">
        <v>2</v>
      </c>
      <c r="AE626" t="s">
        <v>872</v>
      </c>
      <c r="AF626" t="s">
        <v>69</v>
      </c>
      <c r="AG626" s="11">
        <f t="shared" si="54"/>
        <v>0</v>
      </c>
      <c r="AH626" t="s">
        <v>2</v>
      </c>
    </row>
    <row r="627" spans="13:34" x14ac:dyDescent="0.2">
      <c r="M627" t="s">
        <v>68</v>
      </c>
      <c r="N627" s="11" t="str">
        <f>IF($M627=PlasticsUse!$D$93,Conversions!$A$17,IF($M627=PlasticsUse!$L$93,Conversions!$A$18,Conversions!$A$16))</f>
        <v>Transfer Station</v>
      </c>
      <c r="O627" s="11">
        <f>SUMIFS('CompilationCalcs - Di et al.EOL'!$F$4:$F$544,'CompilationCalcs - Di et al.EOL'!$C$4:$C$544,dataforsankey!$M627,'CompilationCalcs - Di et al.EOL'!$E$4:$E$544,$N627,'CompilationCalcs - Di et al.EOL'!$A$4:$A$544,dataforsankey!$P627)</f>
        <v>0.22372642386187613</v>
      </c>
      <c r="P627" t="s">
        <v>11</v>
      </c>
      <c r="S627" t="s">
        <v>891</v>
      </c>
      <c r="T627" t="s">
        <v>99</v>
      </c>
      <c r="U627" s="11">
        <f t="shared" si="55"/>
        <v>0</v>
      </c>
      <c r="V627" t="s">
        <v>2</v>
      </c>
      <c r="Y627" t="s">
        <v>872</v>
      </c>
      <c r="Z627" t="s">
        <v>100</v>
      </c>
      <c r="AA627" s="11">
        <f t="shared" si="53"/>
        <v>0</v>
      </c>
      <c r="AB627" t="s">
        <v>2</v>
      </c>
      <c r="AE627" t="s">
        <v>872</v>
      </c>
      <c r="AF627" t="s">
        <v>100</v>
      </c>
      <c r="AG627" s="11">
        <f t="shared" si="54"/>
        <v>0</v>
      </c>
      <c r="AH627" t="s">
        <v>2</v>
      </c>
    </row>
    <row r="628" spans="13:34" x14ac:dyDescent="0.2">
      <c r="M628" t="s">
        <v>63</v>
      </c>
      <c r="N628" s="11" t="str">
        <f>IF($M628=PlasticsUse!$D$93,Conversions!$A$17,IF($M628=PlasticsUse!$L$93,Conversions!$A$18,Conversions!$A$16))</f>
        <v>Transfer Station</v>
      </c>
      <c r="O628" s="11">
        <f>SUMIFS('CompilationCalcs - Di et al.EOL'!$F$4:$F$544,'CompilationCalcs - Di et al.EOL'!$C$4:$C$544,dataforsankey!$M628,'CompilationCalcs - Di et al.EOL'!$E$4:$E$544,$N628,'CompilationCalcs - Di et al.EOL'!$A$4:$A$544,dataforsankey!$P628)</f>
        <v>0.20472831684240408</v>
      </c>
      <c r="P628" t="s">
        <v>11</v>
      </c>
      <c r="S628" t="s">
        <v>891</v>
      </c>
      <c r="T628" t="s">
        <v>69</v>
      </c>
      <c r="U628" s="11">
        <f t="shared" si="55"/>
        <v>0</v>
      </c>
      <c r="V628" t="s">
        <v>2</v>
      </c>
      <c r="Y628" t="s">
        <v>872</v>
      </c>
      <c r="Z628" t="s">
        <v>39</v>
      </c>
      <c r="AA628" s="11">
        <f t="shared" si="53"/>
        <v>0.46791364732991519</v>
      </c>
      <c r="AB628" t="s">
        <v>2</v>
      </c>
      <c r="AE628" t="s">
        <v>872</v>
      </c>
      <c r="AF628" t="s">
        <v>39</v>
      </c>
      <c r="AG628" s="11">
        <f t="shared" si="54"/>
        <v>0.46791364732991519</v>
      </c>
      <c r="AH628" t="s">
        <v>2</v>
      </c>
    </row>
    <row r="629" spans="13:34" x14ac:dyDescent="0.2">
      <c r="M629" t="s">
        <v>92</v>
      </c>
      <c r="N629" s="11" t="str">
        <f>IF($M629=PlasticsUse!$D$93,Conversions!$A$17,IF($M629=PlasticsUse!$L$93,Conversions!$A$18,Conversions!$A$16))</f>
        <v>Transfer Station</v>
      </c>
      <c r="O629" s="11">
        <f>SUMIFS('CompilationCalcs - Di et al.EOL'!$F$4:$F$544,'CompilationCalcs - Di et al.EOL'!$C$4:$C$544,dataforsankey!$M629,'CompilationCalcs - Di et al.EOL'!$E$4:$E$544,$N629,'CompilationCalcs - Di et al.EOL'!$A$4:$A$544,dataforsankey!$P629)</f>
        <v>0.17713092534936231</v>
      </c>
      <c r="P629" t="s">
        <v>11</v>
      </c>
      <c r="S629" t="s">
        <v>891</v>
      </c>
      <c r="T629" t="s">
        <v>100</v>
      </c>
      <c r="U629" s="11">
        <f t="shared" si="55"/>
        <v>0</v>
      </c>
      <c r="V629" t="s">
        <v>2</v>
      </c>
      <c r="Y629" t="s">
        <v>872</v>
      </c>
      <c r="Z629" t="s">
        <v>68</v>
      </c>
      <c r="AA629" s="11">
        <f t="shared" si="53"/>
        <v>0</v>
      </c>
      <c r="AB629" t="s">
        <v>2</v>
      </c>
      <c r="AE629" t="s">
        <v>872</v>
      </c>
      <c r="AF629" t="s">
        <v>68</v>
      </c>
      <c r="AG629" s="11">
        <f t="shared" si="54"/>
        <v>0</v>
      </c>
      <c r="AH629" t="s">
        <v>2</v>
      </c>
    </row>
    <row r="630" spans="13:34" x14ac:dyDescent="0.2">
      <c r="M630" t="s">
        <v>103</v>
      </c>
      <c r="N630" s="11" t="str">
        <f>IF($M630=PlasticsUse!$D$93,Conversions!$A$17,IF($M630=PlasticsUse!$L$93,Conversions!$A$18,Conversions!$A$16))</f>
        <v>Transfer Station</v>
      </c>
      <c r="O630" s="11">
        <f>SUMIFS('CompilationCalcs - Di et al.EOL'!$F$4:$F$544,'CompilationCalcs - Di et al.EOL'!$C$4:$C$544,dataforsankey!$M630,'CompilationCalcs - Di et al.EOL'!$E$4:$E$544,$N630,'CompilationCalcs - Di et al.EOL'!$A$4:$A$544,dataforsankey!$P630)</f>
        <v>0</v>
      </c>
      <c r="P630" t="s">
        <v>11</v>
      </c>
      <c r="S630" t="s">
        <v>891</v>
      </c>
      <c r="T630" t="s">
        <v>39</v>
      </c>
      <c r="U630" s="11">
        <f t="shared" si="55"/>
        <v>0.52129765829887453</v>
      </c>
      <c r="V630" t="s">
        <v>2</v>
      </c>
      <c r="Y630" t="s">
        <v>872</v>
      </c>
      <c r="Z630" t="s">
        <v>63</v>
      </c>
      <c r="AA630" s="11">
        <f t="shared" si="53"/>
        <v>0</v>
      </c>
      <c r="AB630" t="s">
        <v>2</v>
      </c>
      <c r="AE630" t="s">
        <v>872</v>
      </c>
      <c r="AF630" t="s">
        <v>63</v>
      </c>
      <c r="AG630" s="11">
        <f t="shared" si="54"/>
        <v>0</v>
      </c>
      <c r="AH630" t="s">
        <v>2</v>
      </c>
    </row>
    <row r="631" spans="13:34" x14ac:dyDescent="0.2">
      <c r="M631" t="s">
        <v>86</v>
      </c>
      <c r="N631" s="11" t="str">
        <f>IF($M631=PlasticsUse!$D$93,Conversions!$A$17,IF($M631=PlasticsUse!$L$93,Conversions!$A$18,Conversions!$A$16))</f>
        <v>Transfer Station</v>
      </c>
      <c r="O631" s="11">
        <f>SUMIFS('CompilationCalcs - Di et al.EOL'!$F$4:$F$544,'CompilationCalcs - Di et al.EOL'!$C$4:$C$544,dataforsankey!$M631,'CompilationCalcs - Di et al.EOL'!$E$4:$E$544,$N631,'CompilationCalcs - Di et al.EOL'!$A$4:$A$544,dataforsankey!$P631)</f>
        <v>0.17713092534936231</v>
      </c>
      <c r="P631" t="s">
        <v>11</v>
      </c>
      <c r="S631" t="s">
        <v>891</v>
      </c>
      <c r="T631" t="s">
        <v>68</v>
      </c>
      <c r="U631" s="11">
        <f t="shared" si="55"/>
        <v>0</v>
      </c>
      <c r="V631" t="s">
        <v>2</v>
      </c>
      <c r="Y631" t="s">
        <v>872</v>
      </c>
      <c r="Z631" t="s">
        <v>92</v>
      </c>
      <c r="AA631" s="11">
        <f t="shared" si="53"/>
        <v>0</v>
      </c>
      <c r="AB631" t="s">
        <v>2</v>
      </c>
      <c r="AE631" t="s">
        <v>872</v>
      </c>
      <c r="AF631" t="s">
        <v>92</v>
      </c>
      <c r="AG631" s="11">
        <f t="shared" si="54"/>
        <v>0</v>
      </c>
      <c r="AH631" t="s">
        <v>2</v>
      </c>
    </row>
    <row r="632" spans="13:34" x14ac:dyDescent="0.2">
      <c r="M632" t="s">
        <v>38</v>
      </c>
      <c r="N632" s="11" t="str">
        <f>IF($M632=PlasticsUse!$D$93,Conversions!$A$17,IF($M632=PlasticsUse!$L$93,Conversions!$A$18,Conversions!$A$16))</f>
        <v>Transfer Station</v>
      </c>
      <c r="O632" s="11">
        <f>SUMIFS('CompilationCalcs - Di et al.EOL'!$F$4:$F$544,'CompilationCalcs - Di et al.EOL'!$C$4:$C$544,dataforsankey!$M632,'CompilationCalcs - Di et al.EOL'!$E$4:$E$544,$N632,'CompilationCalcs - Di et al.EOL'!$A$4:$A$544,dataforsankey!$P632)</f>
        <v>8.3565224365372767E-2</v>
      </c>
      <c r="P632" t="s">
        <v>25</v>
      </c>
      <c r="S632" t="s">
        <v>891</v>
      </c>
      <c r="T632" t="s">
        <v>63</v>
      </c>
      <c r="U632" s="11">
        <f t="shared" si="55"/>
        <v>0</v>
      </c>
      <c r="V632" t="s">
        <v>2</v>
      </c>
      <c r="Y632" t="s">
        <v>872</v>
      </c>
      <c r="Z632" t="s">
        <v>103</v>
      </c>
      <c r="AA632" s="11">
        <f t="shared" si="53"/>
        <v>0</v>
      </c>
      <c r="AB632" t="s">
        <v>2</v>
      </c>
      <c r="AE632" t="s">
        <v>872</v>
      </c>
      <c r="AF632" t="s">
        <v>103</v>
      </c>
      <c r="AG632" s="11">
        <f t="shared" si="54"/>
        <v>0</v>
      </c>
      <c r="AH632" t="s">
        <v>2</v>
      </c>
    </row>
    <row r="633" spans="13:34" x14ac:dyDescent="0.2">
      <c r="M633" t="s">
        <v>99</v>
      </c>
      <c r="N633" s="11" t="str">
        <f>IF($M633=PlasticsUse!$D$93,Conversions!$A$17,IF($M633=PlasticsUse!$L$93,Conversions!$A$18,Conversions!$A$16))</f>
        <v>Transfer Station</v>
      </c>
      <c r="O633" s="11">
        <f>SUMIFS('CompilationCalcs - Di et al.EOL'!$F$4:$F$544,'CompilationCalcs - Di et al.EOL'!$C$4:$C$544,dataforsankey!$M633,'CompilationCalcs - Di et al.EOL'!$E$4:$E$544,$N633,'CompilationCalcs - Di et al.EOL'!$A$4:$A$544,dataforsankey!$P633)</f>
        <v>0.20332849016339483</v>
      </c>
      <c r="P633" t="s">
        <v>25</v>
      </c>
      <c r="S633" t="s">
        <v>891</v>
      </c>
      <c r="T633" t="s">
        <v>92</v>
      </c>
      <c r="U633" s="11">
        <f t="shared" si="55"/>
        <v>0</v>
      </c>
      <c r="V633" t="s">
        <v>2</v>
      </c>
      <c r="Y633" t="s">
        <v>872</v>
      </c>
      <c r="Z633" t="s">
        <v>86</v>
      </c>
      <c r="AA633" s="11">
        <f t="shared" si="53"/>
        <v>0.11624820951142711</v>
      </c>
      <c r="AB633" t="s">
        <v>2</v>
      </c>
      <c r="AE633" t="s">
        <v>872</v>
      </c>
      <c r="AF633" t="s">
        <v>86</v>
      </c>
      <c r="AG633" s="11">
        <f t="shared" si="54"/>
        <v>0.11624820951142711</v>
      </c>
      <c r="AH633" t="s">
        <v>2</v>
      </c>
    </row>
    <row r="634" spans="13:34" x14ac:dyDescent="0.2">
      <c r="M634" t="s">
        <v>69</v>
      </c>
      <c r="N634" s="11" t="str">
        <f>IF($M634=PlasticsUse!$D$93,Conversions!$A$17,IF($M634=PlasticsUse!$L$93,Conversions!$A$18,Conversions!$A$16))</f>
        <v>Automotive Shredding Facility</v>
      </c>
      <c r="O634" s="11">
        <f>SUMIFS('CompilationCalcs - Di et al.EOL'!$F$4:$F$544,'CompilationCalcs - Di et al.EOL'!$C$4:$C$544,dataforsankey!$M634,'CompilationCalcs - Di et al.EOL'!$E$4:$E$544,$N634,'CompilationCalcs - Di et al.EOL'!$A$4:$A$544,dataforsankey!$P634)</f>
        <v>0.22047927593266414</v>
      </c>
      <c r="P634" t="s">
        <v>25</v>
      </c>
      <c r="S634" t="s">
        <v>891</v>
      </c>
      <c r="T634" t="s">
        <v>103</v>
      </c>
      <c r="U634" s="11">
        <f t="shared" si="55"/>
        <v>0</v>
      </c>
      <c r="V634" t="s">
        <v>2</v>
      </c>
      <c r="Y634" t="s">
        <v>872</v>
      </c>
      <c r="Z634" t="s">
        <v>18</v>
      </c>
      <c r="AA634" s="11">
        <f t="shared" si="53"/>
        <v>0</v>
      </c>
      <c r="AB634" t="s">
        <v>2</v>
      </c>
      <c r="AE634" t="s">
        <v>872</v>
      </c>
      <c r="AF634" t="s">
        <v>18</v>
      </c>
      <c r="AG634" s="11">
        <f t="shared" si="54"/>
        <v>0</v>
      </c>
      <c r="AH634" t="s">
        <v>2</v>
      </c>
    </row>
    <row r="635" spans="13:34" x14ac:dyDescent="0.2">
      <c r="M635" t="s">
        <v>100</v>
      </c>
      <c r="N635" s="11" t="str">
        <f>IF($M635=PlasticsUse!$D$93,Conversions!$A$17,IF($M635=PlasticsUse!$L$93,Conversions!$A$18,Conversions!$A$16))</f>
        <v>Transfer Station</v>
      </c>
      <c r="O635" s="11">
        <f>SUMIFS('CompilationCalcs - Di et al.EOL'!$F$4:$F$544,'CompilationCalcs - Di et al.EOL'!$C$4:$C$544,dataforsankey!$M635,'CompilationCalcs - Di et al.EOL'!$E$4:$E$544,$N635,'CompilationCalcs - Di et al.EOL'!$A$4:$A$544,dataforsankey!$P635)</f>
        <v>0.16186203075830063</v>
      </c>
      <c r="P635" t="s">
        <v>25</v>
      </c>
      <c r="S635" t="s">
        <v>891</v>
      </c>
      <c r="T635" t="s">
        <v>86</v>
      </c>
      <c r="U635" s="11">
        <f t="shared" si="55"/>
        <v>0</v>
      </c>
      <c r="V635" t="s">
        <v>2</v>
      </c>
      <c r="Y635" t="s">
        <v>872</v>
      </c>
      <c r="Z635" t="s">
        <v>38</v>
      </c>
      <c r="AA635" s="11">
        <f t="shared" si="53"/>
        <v>0</v>
      </c>
      <c r="AB635" t="s">
        <v>30</v>
      </c>
      <c r="AE635" t="s">
        <v>872</v>
      </c>
      <c r="AF635" t="s">
        <v>38</v>
      </c>
      <c r="AG635" s="11">
        <f t="shared" si="54"/>
        <v>0</v>
      </c>
      <c r="AH635" t="s">
        <v>30</v>
      </c>
    </row>
    <row r="636" spans="13:34" x14ac:dyDescent="0.2">
      <c r="M636" t="s">
        <v>39</v>
      </c>
      <c r="N636" s="11" t="str">
        <f>IF($M636=PlasticsUse!$D$93,Conversions!$A$17,IF($M636=PlasticsUse!$L$93,Conversions!$A$18,Conversions!$A$16))</f>
        <v>Transfer Station</v>
      </c>
      <c r="O636" s="11">
        <f>SUMIFS('CompilationCalcs - Di et al.EOL'!$F$4:$F$544,'CompilationCalcs - Di et al.EOL'!$C$4:$C$544,dataforsankey!$M636,'CompilationCalcs - Di et al.EOL'!$E$4:$E$544,$N636,'CompilationCalcs - Di et al.EOL'!$A$4:$A$544,dataforsankey!$P636)</f>
        <v>0.25858541304332056</v>
      </c>
      <c r="P636" t="s">
        <v>25</v>
      </c>
      <c r="S636" t="s">
        <v>891</v>
      </c>
      <c r="T636" t="s">
        <v>18</v>
      </c>
      <c r="U636" s="11">
        <f t="shared" si="55"/>
        <v>0</v>
      </c>
      <c r="V636" t="s">
        <v>2</v>
      </c>
      <c r="Y636" t="s">
        <v>872</v>
      </c>
      <c r="Z636" t="s">
        <v>99</v>
      </c>
      <c r="AA636" s="11">
        <f t="shared" si="53"/>
        <v>0</v>
      </c>
      <c r="AB636" t="s">
        <v>30</v>
      </c>
      <c r="AE636" t="s">
        <v>872</v>
      </c>
      <c r="AF636" t="s">
        <v>99</v>
      </c>
      <c r="AG636" s="11">
        <f t="shared" si="54"/>
        <v>0</v>
      </c>
      <c r="AH636" t="s">
        <v>30</v>
      </c>
    </row>
    <row r="637" spans="13:34" x14ac:dyDescent="0.2">
      <c r="M637" t="s">
        <v>68</v>
      </c>
      <c r="N637" s="11" t="str">
        <f>IF($M637=PlasticsUse!$D$93,Conversions!$A$17,IF($M637=PlasticsUse!$L$93,Conversions!$A$18,Conversions!$A$16))</f>
        <v>Transfer Station</v>
      </c>
      <c r="O637" s="11">
        <f>SUMIFS('CompilationCalcs - Di et al.EOL'!$F$4:$F$544,'CompilationCalcs - Di et al.EOL'!$C$4:$C$544,dataforsankey!$M637,'CompilationCalcs - Di et al.EOL'!$E$4:$E$544,$N637,'CompilationCalcs - Di et al.EOL'!$A$4:$A$544,dataforsankey!$P637)</f>
        <v>0.22974208925434286</v>
      </c>
      <c r="P637" t="s">
        <v>25</v>
      </c>
      <c r="S637" t="s">
        <v>891</v>
      </c>
      <c r="T637" t="s">
        <v>38</v>
      </c>
      <c r="U637" s="11">
        <f t="shared" si="55"/>
        <v>0</v>
      </c>
      <c r="V637" t="s">
        <v>30</v>
      </c>
      <c r="Y637" t="s">
        <v>872</v>
      </c>
      <c r="Z637" t="s">
        <v>69</v>
      </c>
      <c r="AA637" s="11">
        <f t="shared" si="53"/>
        <v>0</v>
      </c>
      <c r="AB637" t="s">
        <v>30</v>
      </c>
      <c r="AE637" t="s">
        <v>872</v>
      </c>
      <c r="AF637" t="s">
        <v>69</v>
      </c>
      <c r="AG637" s="11">
        <f t="shared" si="54"/>
        <v>0</v>
      </c>
      <c r="AH637" t="s">
        <v>30</v>
      </c>
    </row>
    <row r="638" spans="13:34" x14ac:dyDescent="0.2">
      <c r="M638" t="s">
        <v>63</v>
      </c>
      <c r="N638" s="11" t="str">
        <f>IF($M638=PlasticsUse!$D$93,Conversions!$A$17,IF($M638=PlasticsUse!$L$93,Conversions!$A$18,Conversions!$A$16))</f>
        <v>Transfer Station</v>
      </c>
      <c r="O638" s="11">
        <f>SUMIFS('CompilationCalcs - Di et al.EOL'!$F$4:$F$544,'CompilationCalcs - Di et al.EOL'!$C$4:$C$544,dataforsankey!$M638,'CompilationCalcs - Di et al.EOL'!$E$4:$E$544,$N638,'CompilationCalcs - Di et al.EOL'!$A$4:$A$544,dataforsankey!$P638)</f>
        <v>0.21023315185128602</v>
      </c>
      <c r="P638" t="s">
        <v>25</v>
      </c>
      <c r="S638" t="s">
        <v>891</v>
      </c>
      <c r="T638" t="s">
        <v>99</v>
      </c>
      <c r="U638" s="11">
        <f t="shared" si="55"/>
        <v>3.0049799145028103E-2</v>
      </c>
      <c r="V638" t="s">
        <v>30</v>
      </c>
      <c r="Y638" t="s">
        <v>872</v>
      </c>
      <c r="Z638" t="s">
        <v>100</v>
      </c>
      <c r="AA638" s="11">
        <f t="shared" si="53"/>
        <v>0</v>
      </c>
      <c r="AB638" t="s">
        <v>30</v>
      </c>
      <c r="AE638" t="s">
        <v>872</v>
      </c>
      <c r="AF638" t="s">
        <v>100</v>
      </c>
      <c r="AG638" s="11">
        <f t="shared" si="54"/>
        <v>0</v>
      </c>
      <c r="AH638" t="s">
        <v>30</v>
      </c>
    </row>
    <row r="639" spans="13:34" x14ac:dyDescent="0.2">
      <c r="M639" t="s">
        <v>92</v>
      </c>
      <c r="N639" s="11" t="str">
        <f>IF($M639=PlasticsUse!$D$93,Conversions!$A$17,IF($M639=PlasticsUse!$L$93,Conversions!$A$18,Conversions!$A$16))</f>
        <v>Transfer Station</v>
      </c>
      <c r="O639" s="11">
        <f>SUMIFS('CompilationCalcs - Di et al.EOL'!$F$4:$F$544,'CompilationCalcs - Di et al.EOL'!$C$4:$C$544,dataforsankey!$M639,'CompilationCalcs - Di et al.EOL'!$E$4:$E$544,$N639,'CompilationCalcs - Di et al.EOL'!$A$4:$A$544,dataforsankey!$P639)</f>
        <v>0.18189370821231832</v>
      </c>
      <c r="P639" t="s">
        <v>25</v>
      </c>
      <c r="S639" t="s">
        <v>891</v>
      </c>
      <c r="T639" t="s">
        <v>69</v>
      </c>
      <c r="U639" s="11">
        <f t="shared" si="55"/>
        <v>0</v>
      </c>
      <c r="V639" t="s">
        <v>30</v>
      </c>
      <c r="Y639" t="s">
        <v>872</v>
      </c>
      <c r="Z639" t="s">
        <v>39</v>
      </c>
      <c r="AA639" s="11">
        <f t="shared" si="53"/>
        <v>0</v>
      </c>
      <c r="AB639" t="s">
        <v>30</v>
      </c>
      <c r="AE639" t="s">
        <v>872</v>
      </c>
      <c r="AF639" t="s">
        <v>39</v>
      </c>
      <c r="AG639" s="11">
        <f t="shared" si="54"/>
        <v>0</v>
      </c>
      <c r="AH639" t="s">
        <v>30</v>
      </c>
    </row>
    <row r="640" spans="13:34" x14ac:dyDescent="0.2">
      <c r="M640" t="s">
        <v>103</v>
      </c>
      <c r="N640" s="11" t="str">
        <f>IF($M640=PlasticsUse!$D$93,Conversions!$A$17,IF($M640=PlasticsUse!$L$93,Conversions!$A$18,Conversions!$A$16))</f>
        <v>Transfer Station</v>
      </c>
      <c r="O640" s="11">
        <f>SUMIFS('CompilationCalcs - Di et al.EOL'!$F$4:$F$544,'CompilationCalcs - Di et al.EOL'!$C$4:$C$544,dataforsankey!$M640,'CompilationCalcs - Di et al.EOL'!$E$4:$E$544,$N640,'CompilationCalcs - Di et al.EOL'!$A$4:$A$544,dataforsankey!$P640)</f>
        <v>0</v>
      </c>
      <c r="P640" t="s">
        <v>25</v>
      </c>
      <c r="S640" t="s">
        <v>891</v>
      </c>
      <c r="T640" t="s">
        <v>100</v>
      </c>
      <c r="U640" s="11">
        <f t="shared" si="55"/>
        <v>0</v>
      </c>
      <c r="V640" t="s">
        <v>30</v>
      </c>
      <c r="Y640" t="s">
        <v>872</v>
      </c>
      <c r="Z640" t="s">
        <v>68</v>
      </c>
      <c r="AA640" s="11">
        <f t="shared" si="53"/>
        <v>0</v>
      </c>
      <c r="AB640" t="s">
        <v>30</v>
      </c>
      <c r="AE640" t="s">
        <v>872</v>
      </c>
      <c r="AF640" t="s">
        <v>68</v>
      </c>
      <c r="AG640" s="11">
        <f t="shared" si="54"/>
        <v>0</v>
      </c>
      <c r="AH640" t="s">
        <v>30</v>
      </c>
    </row>
    <row r="641" spans="13:34" x14ac:dyDescent="0.2">
      <c r="M641" t="s">
        <v>86</v>
      </c>
      <c r="N641" s="11" t="str">
        <f>IF($M641=PlasticsUse!$D$93,Conversions!$A$17,IF($M641=PlasticsUse!$L$93,Conversions!$A$18,Conversions!$A$16))</f>
        <v>Transfer Station</v>
      </c>
      <c r="O641" s="11">
        <f>SUMIFS('CompilationCalcs - Di et al.EOL'!$F$4:$F$544,'CompilationCalcs - Di et al.EOL'!$C$4:$C$544,dataforsankey!$M641,'CompilationCalcs - Di et al.EOL'!$E$4:$E$544,$N641,'CompilationCalcs - Di et al.EOL'!$A$4:$A$544,dataforsankey!$P641)</f>
        <v>0.18189370821231832</v>
      </c>
      <c r="P641" t="s">
        <v>25</v>
      </c>
      <c r="S641" t="s">
        <v>891</v>
      </c>
      <c r="T641" t="s">
        <v>39</v>
      </c>
      <c r="U641" s="11">
        <f t="shared" si="55"/>
        <v>0</v>
      </c>
      <c r="V641" t="s">
        <v>30</v>
      </c>
      <c r="Y641" t="s">
        <v>872</v>
      </c>
      <c r="Z641" t="s">
        <v>63</v>
      </c>
      <c r="AA641" s="11">
        <f t="shared" si="53"/>
        <v>0</v>
      </c>
      <c r="AB641" t="s">
        <v>30</v>
      </c>
      <c r="AE641" t="s">
        <v>872</v>
      </c>
      <c r="AF641" t="s">
        <v>63</v>
      </c>
      <c r="AG641" s="11">
        <f t="shared" si="54"/>
        <v>0</v>
      </c>
      <c r="AH641" t="s">
        <v>30</v>
      </c>
    </row>
    <row r="642" spans="13:34" x14ac:dyDescent="0.2">
      <c r="M642" t="s">
        <v>38</v>
      </c>
      <c r="N642" s="11" t="str">
        <f>IF($M642=PlasticsUse!$D$93,Conversions!$A$17,IF($M642=PlasticsUse!$L$93,Conversions!$A$18,Conversions!$A$16))</f>
        <v>Transfer Station</v>
      </c>
      <c r="O642" s="11">
        <f>SUMIFS('CompilationCalcs - Di et al.EOL'!$F$4:$F$544,'CompilationCalcs - Di et al.EOL'!$C$4:$C$544,dataforsankey!$M642,'CompilationCalcs - Di et al.EOL'!$E$4:$E$544,$N642,'CompilationCalcs - Di et al.EOL'!$A$4:$A$544,dataforsankey!$P642)</f>
        <v>8.5508327920284163E-2</v>
      </c>
      <c r="P642" t="s">
        <v>7</v>
      </c>
      <c r="S642" t="s">
        <v>891</v>
      </c>
      <c r="T642" t="s">
        <v>68</v>
      </c>
      <c r="U642" s="11">
        <f t="shared" si="55"/>
        <v>0</v>
      </c>
      <c r="V642" t="s">
        <v>30</v>
      </c>
      <c r="Y642" t="s">
        <v>872</v>
      </c>
      <c r="Z642" t="s">
        <v>92</v>
      </c>
      <c r="AA642" s="11">
        <f t="shared" si="53"/>
        <v>0</v>
      </c>
      <c r="AB642" t="s">
        <v>30</v>
      </c>
      <c r="AE642" t="s">
        <v>872</v>
      </c>
      <c r="AF642" t="s">
        <v>92</v>
      </c>
      <c r="AG642" s="11">
        <f t="shared" si="54"/>
        <v>0</v>
      </c>
      <c r="AH642" t="s">
        <v>30</v>
      </c>
    </row>
    <row r="643" spans="13:34" x14ac:dyDescent="0.2">
      <c r="M643" t="s">
        <v>99</v>
      </c>
      <c r="N643" s="11" t="str">
        <f>IF($M643=PlasticsUse!$D$93,Conversions!$A$17,IF($M643=PlasticsUse!$L$93,Conversions!$A$18,Conversions!$A$16))</f>
        <v>Transfer Station</v>
      </c>
      <c r="O643" s="11">
        <f>SUMIFS('CompilationCalcs - Di et al.EOL'!$F$4:$F$544,'CompilationCalcs - Di et al.EOL'!$C$4:$C$544,dataforsankey!$M643,'CompilationCalcs - Di et al.EOL'!$E$4:$E$544,$N643,'CompilationCalcs - Di et al.EOL'!$A$4:$A$544,dataforsankey!$P643)</f>
        <v>0.20805639360710262</v>
      </c>
      <c r="P643" t="s">
        <v>7</v>
      </c>
      <c r="S643" t="s">
        <v>891</v>
      </c>
      <c r="T643" t="s">
        <v>63</v>
      </c>
      <c r="U643" s="11">
        <f t="shared" si="55"/>
        <v>0</v>
      </c>
      <c r="V643" t="s">
        <v>30</v>
      </c>
      <c r="Y643" t="s">
        <v>872</v>
      </c>
      <c r="Z643" t="s">
        <v>103</v>
      </c>
      <c r="AA643" s="11">
        <f t="shared" si="53"/>
        <v>0</v>
      </c>
      <c r="AB643" t="s">
        <v>30</v>
      </c>
      <c r="AE643" t="s">
        <v>872</v>
      </c>
      <c r="AF643" t="s">
        <v>103</v>
      </c>
      <c r="AG643" s="11">
        <f t="shared" si="54"/>
        <v>0</v>
      </c>
      <c r="AH643" t="s">
        <v>30</v>
      </c>
    </row>
    <row r="644" spans="13:34" x14ac:dyDescent="0.2">
      <c r="M644" t="s">
        <v>69</v>
      </c>
      <c r="N644" s="11" t="str">
        <f>IF($M644=PlasticsUse!$D$93,Conversions!$A$17,IF($M644=PlasticsUse!$L$93,Conversions!$A$18,Conversions!$A$16))</f>
        <v>Automotive Shredding Facility</v>
      </c>
      <c r="O644" s="11">
        <f>SUMIFS('CompilationCalcs - Di et al.EOL'!$F$4:$F$544,'CompilationCalcs - Di et al.EOL'!$C$4:$C$544,dataforsankey!$M644,'CompilationCalcs - Di et al.EOL'!$E$4:$E$544,$N644,'CompilationCalcs - Di et al.EOL'!$A$4:$A$544,dataforsankey!$P644)</f>
        <v>0.2256059786741765</v>
      </c>
      <c r="P644" t="s">
        <v>7</v>
      </c>
      <c r="S644" t="s">
        <v>891</v>
      </c>
      <c r="T644" t="s">
        <v>92</v>
      </c>
      <c r="U644" s="11">
        <f t="shared" si="55"/>
        <v>0</v>
      </c>
      <c r="V644" t="s">
        <v>30</v>
      </c>
      <c r="Y644" t="s">
        <v>872</v>
      </c>
      <c r="Z644" t="s">
        <v>86</v>
      </c>
      <c r="AA644" s="11">
        <f t="shared" si="53"/>
        <v>0</v>
      </c>
      <c r="AB644" t="s">
        <v>30</v>
      </c>
      <c r="AE644" t="s">
        <v>872</v>
      </c>
      <c r="AF644" t="s">
        <v>86</v>
      </c>
      <c r="AG644" s="11">
        <f t="shared" si="54"/>
        <v>0</v>
      </c>
      <c r="AH644" t="s">
        <v>30</v>
      </c>
    </row>
    <row r="645" spans="13:34" x14ac:dyDescent="0.2">
      <c r="M645" t="s">
        <v>100</v>
      </c>
      <c r="N645" s="11" t="str">
        <f>IF($M645=PlasticsUse!$D$93,Conversions!$A$17,IF($M645=PlasticsUse!$L$93,Conversions!$A$18,Conversions!$A$16))</f>
        <v>Transfer Station</v>
      </c>
      <c r="O645" s="11">
        <f>SUMIFS('CompilationCalcs - Di et al.EOL'!$F$4:$F$544,'CompilationCalcs - Di et al.EOL'!$C$4:$C$544,dataforsankey!$M645,'CompilationCalcs - Di et al.EOL'!$E$4:$E$544,$N645,'CompilationCalcs - Di et al.EOL'!$A$4:$A$544,dataforsankey!$P645)</f>
        <v>0.16562573377902703</v>
      </c>
      <c r="P645" t="s">
        <v>7</v>
      </c>
      <c r="S645" t="s">
        <v>891</v>
      </c>
      <c r="T645" t="s">
        <v>103</v>
      </c>
      <c r="U645" s="11">
        <f t="shared" si="55"/>
        <v>0.13300030967320553</v>
      </c>
      <c r="V645" t="s">
        <v>30</v>
      </c>
      <c r="Y645" t="s">
        <v>872</v>
      </c>
      <c r="Z645" t="s">
        <v>18</v>
      </c>
      <c r="AA645" s="11">
        <f t="shared" si="53"/>
        <v>0</v>
      </c>
      <c r="AB645" t="s">
        <v>30</v>
      </c>
      <c r="AE645" t="s">
        <v>872</v>
      </c>
      <c r="AF645" t="s">
        <v>18</v>
      </c>
      <c r="AG645" s="11">
        <f t="shared" si="54"/>
        <v>0</v>
      </c>
      <c r="AH645" t="s">
        <v>30</v>
      </c>
    </row>
    <row r="646" spans="13:34" x14ac:dyDescent="0.2">
      <c r="M646" t="s">
        <v>39</v>
      </c>
      <c r="N646" s="11" t="str">
        <f>IF($M646=PlasticsUse!$D$93,Conversions!$A$17,IF($M646=PlasticsUse!$L$93,Conversions!$A$18,Conversions!$A$16))</f>
        <v>Transfer Station</v>
      </c>
      <c r="O646" s="11">
        <f>SUMIFS('CompilationCalcs - Di et al.EOL'!$F$4:$F$544,'CompilationCalcs - Di et al.EOL'!$C$4:$C$544,dataforsankey!$M646,'CompilationCalcs - Di et al.EOL'!$E$4:$E$544,$N646,'CompilationCalcs - Di et al.EOL'!$A$4:$A$544,dataforsankey!$P646)</f>
        <v>0.26459818018597558</v>
      </c>
      <c r="P646" t="s">
        <v>7</v>
      </c>
      <c r="S646" t="s">
        <v>891</v>
      </c>
      <c r="T646" t="s">
        <v>86</v>
      </c>
      <c r="U646" s="11">
        <f t="shared" si="55"/>
        <v>0</v>
      </c>
      <c r="V646" t="s">
        <v>30</v>
      </c>
      <c r="Y646" t="s">
        <v>872</v>
      </c>
      <c r="Z646" t="s">
        <v>38</v>
      </c>
      <c r="AA646" s="11">
        <f t="shared" si="53"/>
        <v>5.1827690172780612E-3</v>
      </c>
      <c r="AB646" t="s">
        <v>31</v>
      </c>
      <c r="AE646" t="s">
        <v>872</v>
      </c>
      <c r="AF646" t="s">
        <v>38</v>
      </c>
      <c r="AG646" s="11">
        <f t="shared" si="54"/>
        <v>5.1827690172780612E-3</v>
      </c>
      <c r="AH646" t="s">
        <v>31</v>
      </c>
    </row>
    <row r="647" spans="13:34" x14ac:dyDescent="0.2">
      <c r="M647" t="s">
        <v>68</v>
      </c>
      <c r="N647" s="11" t="str">
        <f>IF($M647=PlasticsUse!$D$93,Conversions!$A$17,IF($M647=PlasticsUse!$L$93,Conversions!$A$18,Conversions!$A$16))</f>
        <v>Transfer Station</v>
      </c>
      <c r="O647" s="11">
        <f>SUMIFS('CompilationCalcs - Di et al.EOL'!$F$4:$F$544,'CompilationCalcs - Di et al.EOL'!$C$4:$C$544,dataforsankey!$M647,'CompilationCalcs - Di et al.EOL'!$E$4:$E$544,$N647,'CompilationCalcs - Di et al.EOL'!$A$4:$A$544,dataforsankey!$P647)</f>
        <v>0.23508417591459085</v>
      </c>
      <c r="P647" t="s">
        <v>7</v>
      </c>
      <c r="S647" t="s">
        <v>891</v>
      </c>
      <c r="T647" t="s">
        <v>18</v>
      </c>
      <c r="U647" s="11">
        <f t="shared" si="55"/>
        <v>0</v>
      </c>
      <c r="V647" t="s">
        <v>30</v>
      </c>
      <c r="Y647" t="s">
        <v>872</v>
      </c>
      <c r="Z647" t="s">
        <v>99</v>
      </c>
      <c r="AA647" s="11">
        <f t="shared" si="53"/>
        <v>0</v>
      </c>
      <c r="AB647" t="s">
        <v>31</v>
      </c>
      <c r="AE647" t="s">
        <v>872</v>
      </c>
      <c r="AF647" t="s">
        <v>99</v>
      </c>
      <c r="AG647" s="11">
        <f t="shared" si="54"/>
        <v>0</v>
      </c>
      <c r="AH647" t="s">
        <v>31</v>
      </c>
    </row>
    <row r="648" spans="13:34" x14ac:dyDescent="0.2">
      <c r="M648" t="s">
        <v>63</v>
      </c>
      <c r="N648" s="11" t="str">
        <f>IF($M648=PlasticsUse!$D$93,Conversions!$A$17,IF($M648=PlasticsUse!$L$93,Conversions!$A$18,Conversions!$A$16))</f>
        <v>Transfer Station</v>
      </c>
      <c r="O648" s="11">
        <f>SUMIFS('CompilationCalcs - Di et al.EOL'!$F$4:$F$544,'CompilationCalcs - Di et al.EOL'!$C$4:$C$544,dataforsankey!$M648,'CompilationCalcs - Di et al.EOL'!$E$4:$E$544,$N648,'CompilationCalcs - Di et al.EOL'!$A$4:$A$544,dataforsankey!$P648)</f>
        <v>0.21512160620325851</v>
      </c>
      <c r="P648" t="s">
        <v>7</v>
      </c>
      <c r="S648" t="s">
        <v>891</v>
      </c>
      <c r="T648" t="s">
        <v>38</v>
      </c>
      <c r="U648" s="11">
        <f t="shared" si="55"/>
        <v>0</v>
      </c>
      <c r="V648" t="s">
        <v>31</v>
      </c>
      <c r="Y648" t="s">
        <v>872</v>
      </c>
      <c r="Z648" t="s">
        <v>69</v>
      </c>
      <c r="AA648" s="11">
        <f t="shared" si="53"/>
        <v>1.7103137757017599E-2</v>
      </c>
      <c r="AB648" t="s">
        <v>31</v>
      </c>
      <c r="AE648" t="s">
        <v>872</v>
      </c>
      <c r="AF648" t="s">
        <v>69</v>
      </c>
      <c r="AG648" s="11">
        <f t="shared" si="54"/>
        <v>1.7103137757017599E-2</v>
      </c>
      <c r="AH648" t="s">
        <v>31</v>
      </c>
    </row>
    <row r="649" spans="13:34" x14ac:dyDescent="0.2">
      <c r="M649" t="s">
        <v>92</v>
      </c>
      <c r="N649" s="11" t="str">
        <f>IF($M649=PlasticsUse!$D$93,Conversions!$A$17,IF($M649=PlasticsUse!$L$93,Conversions!$A$18,Conversions!$A$16))</f>
        <v>Transfer Station</v>
      </c>
      <c r="O649" s="11">
        <f>SUMIFS('CompilationCalcs - Di et al.EOL'!$F$4:$F$544,'CompilationCalcs - Di et al.EOL'!$C$4:$C$544,dataforsankey!$M649,'CompilationCalcs - Di et al.EOL'!$E$4:$E$544,$N649,'CompilationCalcs - Di et al.EOL'!$A$4:$A$544,dataforsankey!$P649)</f>
        <v>0.18612319857421852</v>
      </c>
      <c r="P649" t="s">
        <v>7</v>
      </c>
      <c r="S649" t="s">
        <v>891</v>
      </c>
      <c r="T649" t="s">
        <v>99</v>
      </c>
      <c r="U649" s="11">
        <f t="shared" si="55"/>
        <v>0</v>
      </c>
      <c r="V649" t="s">
        <v>31</v>
      </c>
      <c r="Y649" t="s">
        <v>872</v>
      </c>
      <c r="Z649" t="s">
        <v>100</v>
      </c>
      <c r="AA649" s="11">
        <f t="shared" si="53"/>
        <v>0</v>
      </c>
      <c r="AB649" t="s">
        <v>31</v>
      </c>
      <c r="AE649" t="s">
        <v>872</v>
      </c>
      <c r="AF649" t="s">
        <v>100</v>
      </c>
      <c r="AG649" s="11">
        <f t="shared" si="54"/>
        <v>0</v>
      </c>
      <c r="AH649" t="s">
        <v>31</v>
      </c>
    </row>
    <row r="650" spans="13:34" x14ac:dyDescent="0.2">
      <c r="M650" t="s">
        <v>103</v>
      </c>
      <c r="N650" s="11" t="str">
        <f>IF($M650=PlasticsUse!$D$93,Conversions!$A$17,IF($M650=PlasticsUse!$L$93,Conversions!$A$18,Conversions!$A$16))</f>
        <v>Transfer Station</v>
      </c>
      <c r="O650" s="11">
        <f>SUMIFS('CompilationCalcs - Di et al.EOL'!$F$4:$F$544,'CompilationCalcs - Di et al.EOL'!$C$4:$C$544,dataforsankey!$M650,'CompilationCalcs - Di et al.EOL'!$E$4:$E$544,$N650,'CompilationCalcs - Di et al.EOL'!$A$4:$A$544,dataforsankey!$P650)</f>
        <v>0</v>
      </c>
      <c r="P650" t="s">
        <v>7</v>
      </c>
      <c r="S650" t="s">
        <v>891</v>
      </c>
      <c r="T650" t="s">
        <v>69</v>
      </c>
      <c r="U650" s="11">
        <f t="shared" si="55"/>
        <v>4.0629983761679575E-2</v>
      </c>
      <c r="V650" t="s">
        <v>31</v>
      </c>
      <c r="Y650" t="s">
        <v>872</v>
      </c>
      <c r="Z650" t="s">
        <v>39</v>
      </c>
      <c r="AA650" s="11">
        <f t="shared" si="53"/>
        <v>0</v>
      </c>
      <c r="AB650" t="s">
        <v>31</v>
      </c>
      <c r="AE650" t="s">
        <v>872</v>
      </c>
      <c r="AF650" t="s">
        <v>39</v>
      </c>
      <c r="AG650" s="11">
        <f t="shared" si="54"/>
        <v>0</v>
      </c>
      <c r="AH650" t="s">
        <v>31</v>
      </c>
    </row>
    <row r="651" spans="13:34" x14ac:dyDescent="0.2">
      <c r="M651" t="s">
        <v>86</v>
      </c>
      <c r="N651" s="11" t="str">
        <f>IF($M651=PlasticsUse!$D$93,Conversions!$A$17,IF($M651=PlasticsUse!$L$93,Conversions!$A$18,Conversions!$A$16))</f>
        <v>Transfer Station</v>
      </c>
      <c r="O651" s="11">
        <f>SUMIFS('CompilationCalcs - Di et al.EOL'!$F$4:$F$544,'CompilationCalcs - Di et al.EOL'!$C$4:$C$544,dataforsankey!$M651,'CompilationCalcs - Di et al.EOL'!$E$4:$E$544,$N651,'CompilationCalcs - Di et al.EOL'!$A$4:$A$544,dataforsankey!$P651)</f>
        <v>0.18612319857421852</v>
      </c>
      <c r="P651" t="s">
        <v>7</v>
      </c>
      <c r="S651" t="s">
        <v>891</v>
      </c>
      <c r="T651" t="s">
        <v>100</v>
      </c>
      <c r="U651" s="11">
        <f t="shared" si="55"/>
        <v>0</v>
      </c>
      <c r="V651" t="s">
        <v>31</v>
      </c>
      <c r="Y651" t="s">
        <v>872</v>
      </c>
      <c r="Z651" t="s">
        <v>68</v>
      </c>
      <c r="AA651" s="11">
        <f t="shared" si="53"/>
        <v>5.701045919005867E-2</v>
      </c>
      <c r="AB651" t="s">
        <v>31</v>
      </c>
      <c r="AE651" t="s">
        <v>872</v>
      </c>
      <c r="AF651" t="s">
        <v>68</v>
      </c>
      <c r="AG651" s="11">
        <f t="shared" si="54"/>
        <v>5.701045919005867E-2</v>
      </c>
      <c r="AH651" t="s">
        <v>31</v>
      </c>
    </row>
    <row r="652" spans="13:34" x14ac:dyDescent="0.2">
      <c r="M652" t="s">
        <v>38</v>
      </c>
      <c r="N652" s="11" t="str">
        <f>IF($M652=PlasticsUse!$D$93,Conversions!$A$17,IF($M652=PlasticsUse!$L$93,Conversions!$A$18,Conversions!$A$16))</f>
        <v>Transfer Station</v>
      </c>
      <c r="O652" s="11">
        <f>SUMIFS('CompilationCalcs - Di et al.EOL'!$F$4:$F$544,'CompilationCalcs - Di et al.EOL'!$C$4:$C$544,dataforsankey!$M652,'CompilationCalcs - Di et al.EOL'!$E$4:$E$544,$N652,'CompilationCalcs - Di et al.EOL'!$A$4:$A$544,dataforsankey!$P652)</f>
        <v>0</v>
      </c>
      <c r="P652" t="s">
        <v>2</v>
      </c>
      <c r="S652" t="s">
        <v>891</v>
      </c>
      <c r="T652" t="s">
        <v>39</v>
      </c>
      <c r="U652" s="11">
        <f t="shared" si="55"/>
        <v>0</v>
      </c>
      <c r="V652" t="s">
        <v>31</v>
      </c>
      <c r="Y652" t="s">
        <v>872</v>
      </c>
      <c r="Z652" t="s">
        <v>63</v>
      </c>
      <c r="AA652" s="11">
        <f t="shared" si="53"/>
        <v>1.7103137757017599E-2</v>
      </c>
      <c r="AB652" t="s">
        <v>31</v>
      </c>
      <c r="AE652" t="s">
        <v>872</v>
      </c>
      <c r="AF652" t="s">
        <v>63</v>
      </c>
      <c r="AG652" s="11">
        <f t="shared" si="54"/>
        <v>1.7103137757017599E-2</v>
      </c>
      <c r="AH652" t="s">
        <v>31</v>
      </c>
    </row>
    <row r="653" spans="13:34" x14ac:dyDescent="0.2">
      <c r="M653" t="s">
        <v>99</v>
      </c>
      <c r="N653" s="11" t="str">
        <f>IF($M653=PlasticsUse!$D$93,Conversions!$A$17,IF($M653=PlasticsUse!$L$93,Conversions!$A$18,Conversions!$A$16))</f>
        <v>Transfer Station</v>
      </c>
      <c r="O653" s="11">
        <f>SUMIFS('CompilationCalcs - Di et al.EOL'!$F$4:$F$544,'CompilationCalcs - Di et al.EOL'!$C$4:$C$544,dataforsankey!$M653,'CompilationCalcs - Di et al.EOL'!$E$4:$E$544,$N653,'CompilationCalcs - Di et al.EOL'!$A$4:$A$544,dataforsankey!$P653)</f>
        <v>0</v>
      </c>
      <c r="P653" t="s">
        <v>2</v>
      </c>
      <c r="S653" t="s">
        <v>891</v>
      </c>
      <c r="T653" t="s">
        <v>68</v>
      </c>
      <c r="U653" s="11">
        <f t="shared" si="55"/>
        <v>0.17294909919791226</v>
      </c>
      <c r="V653" t="s">
        <v>31</v>
      </c>
      <c r="Y653" t="s">
        <v>872</v>
      </c>
      <c r="Z653" t="s">
        <v>92</v>
      </c>
      <c r="AA653" s="11">
        <f t="shared" si="53"/>
        <v>0</v>
      </c>
      <c r="AB653" t="s">
        <v>31</v>
      </c>
      <c r="AE653" t="s">
        <v>872</v>
      </c>
      <c r="AF653" t="s">
        <v>92</v>
      </c>
      <c r="AG653" s="11">
        <f t="shared" si="54"/>
        <v>0</v>
      </c>
      <c r="AH653" t="s">
        <v>31</v>
      </c>
    </row>
    <row r="654" spans="13:34" x14ac:dyDescent="0.2">
      <c r="M654" t="s">
        <v>69</v>
      </c>
      <c r="N654" s="11" t="str">
        <f>IF($M654=PlasticsUse!$D$93,Conversions!$A$17,IF($M654=PlasticsUse!$L$93,Conversions!$A$18,Conversions!$A$16))</f>
        <v>Automotive Shredding Facility</v>
      </c>
      <c r="O654" s="11">
        <f>SUMIFS('CompilationCalcs - Di et al.EOL'!$F$4:$F$544,'CompilationCalcs - Di et al.EOL'!$C$4:$C$544,dataforsankey!$M654,'CompilationCalcs - Di et al.EOL'!$E$4:$E$544,$N654,'CompilationCalcs - Di et al.EOL'!$A$4:$A$544,dataforsankey!$P654)</f>
        <v>0</v>
      </c>
      <c r="P654" t="s">
        <v>2</v>
      </c>
      <c r="S654" t="s">
        <v>891</v>
      </c>
      <c r="T654" t="s">
        <v>63</v>
      </c>
      <c r="U654" s="11">
        <f t="shared" si="55"/>
        <v>1.9467701227347266E-2</v>
      </c>
      <c r="V654" t="s">
        <v>31</v>
      </c>
      <c r="Y654" t="s">
        <v>872</v>
      </c>
      <c r="Z654" t="s">
        <v>103</v>
      </c>
      <c r="AA654" s="11">
        <f t="shared" si="53"/>
        <v>0</v>
      </c>
      <c r="AB654" t="s">
        <v>31</v>
      </c>
      <c r="AE654" t="s">
        <v>872</v>
      </c>
      <c r="AF654" t="s">
        <v>103</v>
      </c>
      <c r="AG654" s="11">
        <f t="shared" si="54"/>
        <v>0</v>
      </c>
      <c r="AH654" t="s">
        <v>31</v>
      </c>
    </row>
    <row r="655" spans="13:34" x14ac:dyDescent="0.2">
      <c r="M655" t="s">
        <v>100</v>
      </c>
      <c r="N655" s="11" t="str">
        <f>IF($M655=PlasticsUse!$D$93,Conversions!$A$17,IF($M655=PlasticsUse!$L$93,Conversions!$A$18,Conversions!$A$16))</f>
        <v>Transfer Station</v>
      </c>
      <c r="O655" s="11">
        <f>SUMIFS('CompilationCalcs - Di et al.EOL'!$F$4:$F$544,'CompilationCalcs - Di et al.EOL'!$C$4:$C$544,dataforsankey!$M655,'CompilationCalcs - Di et al.EOL'!$E$4:$E$544,$N655,'CompilationCalcs - Di et al.EOL'!$A$4:$A$544,dataforsankey!$P655)</f>
        <v>0</v>
      </c>
      <c r="P655" t="s">
        <v>2</v>
      </c>
      <c r="S655" t="s">
        <v>891</v>
      </c>
      <c r="T655" t="s">
        <v>92</v>
      </c>
      <c r="U655" s="11">
        <f t="shared" si="55"/>
        <v>0</v>
      </c>
      <c r="V655" t="s">
        <v>31</v>
      </c>
      <c r="Y655" t="s">
        <v>872</v>
      </c>
      <c r="Z655" t="s">
        <v>86</v>
      </c>
      <c r="AA655" s="11">
        <f t="shared" si="53"/>
        <v>7.2558766241892685E-3</v>
      </c>
      <c r="AB655" t="s">
        <v>31</v>
      </c>
      <c r="AE655" t="s">
        <v>872</v>
      </c>
      <c r="AF655" t="s">
        <v>86</v>
      </c>
      <c r="AG655" s="11">
        <f t="shared" si="54"/>
        <v>7.2558766241892685E-3</v>
      </c>
      <c r="AH655" t="s">
        <v>31</v>
      </c>
    </row>
    <row r="656" spans="13:34" x14ac:dyDescent="0.2">
      <c r="M656" t="s">
        <v>39</v>
      </c>
      <c r="N656" s="11" t="str">
        <f>IF($M656=PlasticsUse!$D$93,Conversions!$A$17,IF($M656=PlasticsUse!$L$93,Conversions!$A$18,Conversions!$A$16))</f>
        <v>Transfer Station</v>
      </c>
      <c r="O656" s="11">
        <f>SUMIFS('CompilationCalcs - Di et al.EOL'!$F$4:$F$544,'CompilationCalcs - Di et al.EOL'!$C$4:$C$544,dataforsankey!$M656,'CompilationCalcs - Di et al.EOL'!$E$4:$E$544,$N656,'CompilationCalcs - Di et al.EOL'!$A$4:$A$544,dataforsankey!$P656)</f>
        <v>3.246538846797292</v>
      </c>
      <c r="P656" t="s">
        <v>2</v>
      </c>
      <c r="S656" t="s">
        <v>891</v>
      </c>
      <c r="T656" t="s">
        <v>103</v>
      </c>
      <c r="U656" s="11">
        <f t="shared" si="55"/>
        <v>0</v>
      </c>
      <c r="V656" t="s">
        <v>31</v>
      </c>
      <c r="Y656" t="s">
        <v>872</v>
      </c>
      <c r="Z656" t="s">
        <v>18</v>
      </c>
      <c r="AA656" s="11">
        <f t="shared" si="53"/>
        <v>0</v>
      </c>
      <c r="AB656" t="s">
        <v>31</v>
      </c>
      <c r="AE656" t="s">
        <v>872</v>
      </c>
      <c r="AF656" t="s">
        <v>18</v>
      </c>
      <c r="AG656" s="11">
        <f t="shared" si="54"/>
        <v>0</v>
      </c>
      <c r="AH656" t="s">
        <v>31</v>
      </c>
    </row>
    <row r="657" spans="13:34" x14ac:dyDescent="0.2">
      <c r="M657" t="s">
        <v>68</v>
      </c>
      <c r="N657" s="11" t="str">
        <f>IF($M657=PlasticsUse!$D$93,Conversions!$A$17,IF($M657=PlasticsUse!$L$93,Conversions!$A$18,Conversions!$A$16))</f>
        <v>Transfer Station</v>
      </c>
      <c r="O657" s="11">
        <f>SUMIFS('CompilationCalcs - Di et al.EOL'!$F$4:$F$544,'CompilationCalcs - Di et al.EOL'!$C$4:$C$544,dataforsankey!$M657,'CompilationCalcs - Di et al.EOL'!$E$4:$E$544,$N657,'CompilationCalcs - Di et al.EOL'!$A$4:$A$544,dataforsankey!$P657)</f>
        <v>0</v>
      </c>
      <c r="P657" t="s">
        <v>2</v>
      </c>
      <c r="S657" t="s">
        <v>891</v>
      </c>
      <c r="T657" t="s">
        <v>86</v>
      </c>
      <c r="U657" s="11">
        <f t="shared" si="55"/>
        <v>0</v>
      </c>
      <c r="V657" t="s">
        <v>31</v>
      </c>
      <c r="Y657" t="s">
        <v>872</v>
      </c>
      <c r="Z657" t="s">
        <v>38</v>
      </c>
      <c r="AA657" s="11">
        <f t="shared" si="53"/>
        <v>0</v>
      </c>
      <c r="AB657" t="s">
        <v>122</v>
      </c>
      <c r="AE657" t="s">
        <v>872</v>
      </c>
      <c r="AF657" t="s">
        <v>38</v>
      </c>
      <c r="AG657" s="11">
        <f t="shared" si="54"/>
        <v>0</v>
      </c>
      <c r="AH657" t="s">
        <v>122</v>
      </c>
    </row>
    <row r="658" spans="13:34" x14ac:dyDescent="0.2">
      <c r="M658" t="s">
        <v>63</v>
      </c>
      <c r="N658" s="11" t="str">
        <f>IF($M658=PlasticsUse!$D$93,Conversions!$A$17,IF($M658=PlasticsUse!$L$93,Conversions!$A$18,Conversions!$A$16))</f>
        <v>Transfer Station</v>
      </c>
      <c r="O658" s="11">
        <f>SUMIFS('CompilationCalcs - Di et al.EOL'!$F$4:$F$544,'CompilationCalcs - Di et al.EOL'!$C$4:$C$544,dataforsankey!$M658,'CompilationCalcs - Di et al.EOL'!$E$4:$E$544,$N658,'CompilationCalcs - Di et al.EOL'!$A$4:$A$544,dataforsankey!$P658)</f>
        <v>0</v>
      </c>
      <c r="P658" t="s">
        <v>2</v>
      </c>
      <c r="S658" t="s">
        <v>891</v>
      </c>
      <c r="T658" t="s">
        <v>18</v>
      </c>
      <c r="U658" s="11">
        <f t="shared" si="55"/>
        <v>0</v>
      </c>
      <c r="V658" t="s">
        <v>31</v>
      </c>
      <c r="Y658" t="s">
        <v>872</v>
      </c>
      <c r="Z658" t="s">
        <v>99</v>
      </c>
      <c r="AA658" s="11">
        <f t="shared" ref="AA658:AA721" si="56">SUMIFS($O$23:$O$953,$M$23:$M$953,Y658,$N$23:$N$953,Z658,$P$23:$P$953,AB658)</f>
        <v>0</v>
      </c>
      <c r="AB658" t="s">
        <v>122</v>
      </c>
      <c r="AE658" t="s">
        <v>872</v>
      </c>
      <c r="AF658" t="s">
        <v>99</v>
      </c>
      <c r="AG658" s="11">
        <f t="shared" ref="AG658:AG721" si="57">SUMIFS($O$23:$O$953,$M$23:$M$953,AE658,$N$23:$N$953,AF658,$P$23:$P$953,AH658)</f>
        <v>0</v>
      </c>
      <c r="AH658" t="s">
        <v>122</v>
      </c>
    </row>
    <row r="659" spans="13:34" x14ac:dyDescent="0.2">
      <c r="M659" t="s">
        <v>92</v>
      </c>
      <c r="N659" s="11" t="str">
        <f>IF($M659=PlasticsUse!$D$93,Conversions!$A$17,IF($M659=PlasticsUse!$L$93,Conversions!$A$18,Conversions!$A$16))</f>
        <v>Transfer Station</v>
      </c>
      <c r="O659" s="11">
        <f>SUMIFS('CompilationCalcs - Di et al.EOL'!$F$4:$F$544,'CompilationCalcs - Di et al.EOL'!$C$4:$C$544,dataforsankey!$M659,'CompilationCalcs - Di et al.EOL'!$E$4:$E$544,$N659,'CompilationCalcs - Di et al.EOL'!$A$4:$A$544,dataforsankey!$P659)</f>
        <v>0</v>
      </c>
      <c r="P659" t="s">
        <v>2</v>
      </c>
      <c r="S659" t="s">
        <v>891</v>
      </c>
      <c r="T659" t="s">
        <v>38</v>
      </c>
      <c r="U659" s="11">
        <f t="shared" si="55"/>
        <v>0</v>
      </c>
      <c r="V659" t="s">
        <v>122</v>
      </c>
      <c r="Y659" t="s">
        <v>872</v>
      </c>
      <c r="Z659" t="s">
        <v>69</v>
      </c>
      <c r="AA659" s="11">
        <f t="shared" si="56"/>
        <v>0</v>
      </c>
      <c r="AB659" t="s">
        <v>122</v>
      </c>
      <c r="AE659" t="s">
        <v>872</v>
      </c>
      <c r="AF659" t="s">
        <v>69</v>
      </c>
      <c r="AG659" s="11">
        <f t="shared" si="57"/>
        <v>0</v>
      </c>
      <c r="AH659" t="s">
        <v>122</v>
      </c>
    </row>
    <row r="660" spans="13:34" x14ac:dyDescent="0.2">
      <c r="M660" t="s">
        <v>103</v>
      </c>
      <c r="N660" s="11" t="str">
        <f>IF($M660=PlasticsUse!$D$93,Conversions!$A$17,IF($M660=PlasticsUse!$L$93,Conversions!$A$18,Conversions!$A$16))</f>
        <v>Transfer Station</v>
      </c>
      <c r="O660" s="11">
        <f>SUMIFS('CompilationCalcs - Di et al.EOL'!$F$4:$F$544,'CompilationCalcs - Di et al.EOL'!$C$4:$C$544,dataforsankey!$M660,'CompilationCalcs - Di et al.EOL'!$E$4:$E$544,$N660,'CompilationCalcs - Di et al.EOL'!$A$4:$A$544,dataforsankey!$P660)</f>
        <v>0</v>
      </c>
      <c r="P660" t="s">
        <v>2</v>
      </c>
      <c r="S660" t="s">
        <v>891</v>
      </c>
      <c r="T660" t="s">
        <v>99</v>
      </c>
      <c r="U660" s="11">
        <f t="shared" si="55"/>
        <v>0</v>
      </c>
      <c r="V660" t="s">
        <v>122</v>
      </c>
      <c r="Y660" t="s">
        <v>872</v>
      </c>
      <c r="Z660" t="s">
        <v>100</v>
      </c>
      <c r="AA660" s="11">
        <f t="shared" si="56"/>
        <v>0</v>
      </c>
      <c r="AB660" t="s">
        <v>122</v>
      </c>
      <c r="AE660" t="s">
        <v>872</v>
      </c>
      <c r="AF660" t="s">
        <v>100</v>
      </c>
      <c r="AG660" s="11">
        <f t="shared" si="57"/>
        <v>0</v>
      </c>
      <c r="AH660" t="s">
        <v>122</v>
      </c>
    </row>
    <row r="661" spans="13:34" x14ac:dyDescent="0.2">
      <c r="M661" t="s">
        <v>86</v>
      </c>
      <c r="N661" s="11" t="str">
        <f>IF($M661=PlasticsUse!$D$93,Conversions!$A$17,IF($M661=PlasticsUse!$L$93,Conversions!$A$18,Conversions!$A$16))</f>
        <v>Transfer Station</v>
      </c>
      <c r="O661" s="11">
        <f>SUMIFS('CompilationCalcs - Di et al.EOL'!$F$4:$F$544,'CompilationCalcs - Di et al.EOL'!$C$4:$C$544,dataforsankey!$M661,'CompilationCalcs - Di et al.EOL'!$E$4:$E$544,$N661,'CompilationCalcs - Di et al.EOL'!$A$4:$A$544,dataforsankey!$P661)</f>
        <v>0.56735491121090986</v>
      </c>
      <c r="P661" t="s">
        <v>2</v>
      </c>
      <c r="S661" t="s">
        <v>891</v>
      </c>
      <c r="T661" t="s">
        <v>69</v>
      </c>
      <c r="U661" s="11">
        <f t="shared" si="55"/>
        <v>0</v>
      </c>
      <c r="V661" t="s">
        <v>122</v>
      </c>
      <c r="Y661" t="s">
        <v>872</v>
      </c>
      <c r="Z661" t="s">
        <v>39</v>
      </c>
      <c r="AA661" s="11">
        <f t="shared" si="56"/>
        <v>0</v>
      </c>
      <c r="AB661" t="s">
        <v>122</v>
      </c>
      <c r="AE661" t="s">
        <v>872</v>
      </c>
      <c r="AF661" t="s">
        <v>39</v>
      </c>
      <c r="AG661" s="11">
        <f t="shared" si="57"/>
        <v>0</v>
      </c>
      <c r="AH661" t="s">
        <v>122</v>
      </c>
    </row>
    <row r="662" spans="13:34" x14ac:dyDescent="0.2">
      <c r="M662" t="s">
        <v>38</v>
      </c>
      <c r="N662" s="11" t="str">
        <f>IF($M662=PlasticsUse!$D$93,Conversions!$A$17,IF($M662=PlasticsUse!$L$93,Conversions!$A$18,Conversions!$A$16))</f>
        <v>Transfer Station</v>
      </c>
      <c r="O662" s="11">
        <f>SUMIFS('CompilationCalcs - Di et al.EOL'!$F$4:$F$544,'CompilationCalcs - Di et al.EOL'!$C$4:$C$544,dataforsankey!$M662,'CompilationCalcs - Di et al.EOL'!$E$4:$E$544,$N662,'CompilationCalcs - Di et al.EOL'!$A$4:$A$544,dataforsankey!$P662)</f>
        <v>2.4542096411624699E-2</v>
      </c>
      <c r="P662" t="s">
        <v>30</v>
      </c>
      <c r="S662" t="s">
        <v>891</v>
      </c>
      <c r="T662" t="s">
        <v>100</v>
      </c>
      <c r="U662" s="11">
        <f t="shared" si="55"/>
        <v>0</v>
      </c>
      <c r="V662" t="s">
        <v>122</v>
      </c>
      <c r="Y662" t="s">
        <v>872</v>
      </c>
      <c r="Z662" t="s">
        <v>68</v>
      </c>
      <c r="AA662" s="11">
        <f t="shared" si="56"/>
        <v>0</v>
      </c>
      <c r="AB662" t="s">
        <v>122</v>
      </c>
      <c r="AE662" t="s">
        <v>872</v>
      </c>
      <c r="AF662" t="s">
        <v>68</v>
      </c>
      <c r="AG662" s="11">
        <f t="shared" si="57"/>
        <v>0</v>
      </c>
      <c r="AH662" t="s">
        <v>122</v>
      </c>
    </row>
    <row r="663" spans="13:34" x14ac:dyDescent="0.2">
      <c r="M663" t="s">
        <v>99</v>
      </c>
      <c r="N663" s="11" t="str">
        <f>IF($M663=PlasticsUse!$D$93,Conversions!$A$17,IF($M663=PlasticsUse!$L$93,Conversions!$A$18,Conversions!$A$16))</f>
        <v>Transfer Station</v>
      </c>
      <c r="O663" s="11">
        <f>SUMIFS('CompilationCalcs - Di et al.EOL'!$F$4:$F$544,'CompilationCalcs - Di et al.EOL'!$C$4:$C$544,dataforsankey!$M663,'CompilationCalcs - Di et al.EOL'!$E$4:$E$544,$N663,'CompilationCalcs - Di et al.EOL'!$A$4:$A$544,dataforsankey!$P663)</f>
        <v>2.518054557744746E-2</v>
      </c>
      <c r="P663" t="s">
        <v>30</v>
      </c>
      <c r="S663" t="s">
        <v>891</v>
      </c>
      <c r="T663" t="s">
        <v>39</v>
      </c>
      <c r="U663" s="11">
        <f t="shared" ref="U663:U726" si="58">SUMIFS($O$23:$O$935,$M$23:$M$935,S663,$N$23:$N$935,T663,$P$23:$P$935,V663)</f>
        <v>0</v>
      </c>
      <c r="V663" t="s">
        <v>122</v>
      </c>
      <c r="Y663" t="s">
        <v>872</v>
      </c>
      <c r="Z663" t="s">
        <v>63</v>
      </c>
      <c r="AA663" s="11">
        <f t="shared" si="56"/>
        <v>0</v>
      </c>
      <c r="AB663" t="s">
        <v>122</v>
      </c>
      <c r="AE663" t="s">
        <v>872</v>
      </c>
      <c r="AF663" t="s">
        <v>63</v>
      </c>
      <c r="AG663" s="11">
        <f t="shared" si="57"/>
        <v>0</v>
      </c>
      <c r="AH663" t="s">
        <v>122</v>
      </c>
    </row>
    <row r="664" spans="13:34" x14ac:dyDescent="0.2">
      <c r="M664" t="s">
        <v>69</v>
      </c>
      <c r="N664" s="11" t="str">
        <f>IF($M664=PlasticsUse!$D$93,Conversions!$A$17,IF($M664=PlasticsUse!$L$93,Conversions!$A$18,Conversions!$A$16))</f>
        <v>Automotive Shredding Facility</v>
      </c>
      <c r="O664" s="11">
        <f>SUMIFS('CompilationCalcs - Di et al.EOL'!$F$4:$F$544,'CompilationCalcs - Di et al.EOL'!$C$4:$C$544,dataforsankey!$M664,'CompilationCalcs - Di et al.EOL'!$E$4:$E$544,$N664,'CompilationCalcs - Di et al.EOL'!$A$4:$A$544,dataforsankey!$P664)</f>
        <v>0.17165519030958951</v>
      </c>
      <c r="P664" t="s">
        <v>30</v>
      </c>
      <c r="S664" t="s">
        <v>891</v>
      </c>
      <c r="T664" t="s">
        <v>68</v>
      </c>
      <c r="U664" s="11">
        <f t="shared" si="58"/>
        <v>0</v>
      </c>
      <c r="V664" t="s">
        <v>122</v>
      </c>
      <c r="Y664" t="s">
        <v>872</v>
      </c>
      <c r="Z664" t="s">
        <v>92</v>
      </c>
      <c r="AA664" s="11">
        <f t="shared" si="56"/>
        <v>0</v>
      </c>
      <c r="AB664" t="s">
        <v>122</v>
      </c>
      <c r="AE664" t="s">
        <v>872</v>
      </c>
      <c r="AF664" t="s">
        <v>92</v>
      </c>
      <c r="AG664" s="11">
        <f t="shared" si="57"/>
        <v>0</v>
      </c>
      <c r="AH664" t="s">
        <v>122</v>
      </c>
    </row>
    <row r="665" spans="13:34" x14ac:dyDescent="0.2">
      <c r="M665" t="s">
        <v>100</v>
      </c>
      <c r="N665" s="11" t="str">
        <f>IF($M665=PlasticsUse!$D$93,Conversions!$A$17,IF($M665=PlasticsUse!$L$93,Conversions!$A$18,Conversions!$A$16))</f>
        <v>Transfer Station</v>
      </c>
      <c r="O665" s="11">
        <f>SUMIFS('CompilationCalcs - Di et al.EOL'!$F$4:$F$544,'CompilationCalcs - Di et al.EOL'!$C$4:$C$544,dataforsankey!$M665,'CompilationCalcs - Di et al.EOL'!$E$4:$E$544,$N665,'CompilationCalcs - Di et al.EOL'!$A$4:$A$544,dataforsankey!$P665)</f>
        <v>0</v>
      </c>
      <c r="P665" t="s">
        <v>30</v>
      </c>
      <c r="S665" t="s">
        <v>891</v>
      </c>
      <c r="T665" t="s">
        <v>63</v>
      </c>
      <c r="U665" s="11">
        <f t="shared" si="58"/>
        <v>0</v>
      </c>
      <c r="V665" t="s">
        <v>122</v>
      </c>
      <c r="Y665" t="s">
        <v>872</v>
      </c>
      <c r="Z665" t="s">
        <v>103</v>
      </c>
      <c r="AA665" s="11">
        <f t="shared" si="56"/>
        <v>0</v>
      </c>
      <c r="AB665" t="s">
        <v>122</v>
      </c>
      <c r="AE665" t="s">
        <v>872</v>
      </c>
      <c r="AF665" t="s">
        <v>103</v>
      </c>
      <c r="AG665" s="11">
        <f t="shared" si="57"/>
        <v>0</v>
      </c>
      <c r="AH665" t="s">
        <v>122</v>
      </c>
    </row>
    <row r="666" spans="13:34" x14ac:dyDescent="0.2">
      <c r="M666" t="s">
        <v>39</v>
      </c>
      <c r="N666" s="11" t="str">
        <f>IF($M666=PlasticsUse!$D$93,Conversions!$A$17,IF($M666=PlasticsUse!$L$93,Conversions!$A$18,Conversions!$A$16))</f>
        <v>Transfer Station</v>
      </c>
      <c r="O666" s="11">
        <f>SUMIFS('CompilationCalcs - Di et al.EOL'!$F$4:$F$544,'CompilationCalcs - Di et al.EOL'!$C$4:$C$544,dataforsankey!$M666,'CompilationCalcs - Di et al.EOL'!$E$4:$E$544,$N666,'CompilationCalcs - Di et al.EOL'!$A$4:$A$544,dataforsankey!$P666)</f>
        <v>0</v>
      </c>
      <c r="P666" t="s">
        <v>30</v>
      </c>
      <c r="S666" t="s">
        <v>891</v>
      </c>
      <c r="T666" t="s">
        <v>92</v>
      </c>
      <c r="U666" s="11">
        <f t="shared" si="58"/>
        <v>0</v>
      </c>
      <c r="V666" t="s">
        <v>122</v>
      </c>
      <c r="Y666" t="s">
        <v>872</v>
      </c>
      <c r="Z666" t="s">
        <v>86</v>
      </c>
      <c r="AA666" s="11">
        <f t="shared" si="56"/>
        <v>0.10483072062519065</v>
      </c>
      <c r="AB666" t="s">
        <v>122</v>
      </c>
      <c r="AE666" t="s">
        <v>872</v>
      </c>
      <c r="AF666" t="s">
        <v>86</v>
      </c>
      <c r="AG666" s="11">
        <f t="shared" si="57"/>
        <v>0.10483072062519065</v>
      </c>
      <c r="AH666" t="s">
        <v>122</v>
      </c>
    </row>
    <row r="667" spans="13:34" x14ac:dyDescent="0.2">
      <c r="M667" t="s">
        <v>68</v>
      </c>
      <c r="N667" s="11" t="str">
        <f>IF($M667=PlasticsUse!$D$93,Conversions!$A$17,IF($M667=PlasticsUse!$L$93,Conversions!$A$18,Conversions!$A$16))</f>
        <v>Transfer Station</v>
      </c>
      <c r="O667" s="11">
        <f>SUMIFS('CompilationCalcs - Di et al.EOL'!$F$4:$F$544,'CompilationCalcs - Di et al.EOL'!$C$4:$C$544,dataforsankey!$M667,'CompilationCalcs - Di et al.EOL'!$E$4:$E$544,$N667,'CompilationCalcs - Di et al.EOL'!$A$4:$A$544,dataforsankey!$P667)</f>
        <v>0.56541799086020339</v>
      </c>
      <c r="P667" t="s">
        <v>30</v>
      </c>
      <c r="S667" t="s">
        <v>891</v>
      </c>
      <c r="T667" t="s">
        <v>103</v>
      </c>
      <c r="U667" s="11">
        <f t="shared" si="58"/>
        <v>0</v>
      </c>
      <c r="V667" t="s">
        <v>122</v>
      </c>
      <c r="Y667" t="s">
        <v>872</v>
      </c>
      <c r="Z667" t="s">
        <v>18</v>
      </c>
      <c r="AA667" s="11">
        <f t="shared" si="56"/>
        <v>0</v>
      </c>
      <c r="AB667" t="s">
        <v>122</v>
      </c>
      <c r="AE667" t="s">
        <v>872</v>
      </c>
      <c r="AF667" t="s">
        <v>18</v>
      </c>
      <c r="AG667" s="11">
        <f t="shared" si="57"/>
        <v>0</v>
      </c>
      <c r="AH667" t="s">
        <v>122</v>
      </c>
    </row>
    <row r="668" spans="13:34" x14ac:dyDescent="0.2">
      <c r="M668" t="s">
        <v>63</v>
      </c>
      <c r="N668" s="11" t="str">
        <f>IF($M668=PlasticsUse!$D$93,Conversions!$A$17,IF($M668=PlasticsUse!$L$93,Conversions!$A$18,Conversions!$A$16))</f>
        <v>Transfer Station</v>
      </c>
      <c r="O668" s="11">
        <f>SUMIFS('CompilationCalcs - Di et al.EOL'!$F$4:$F$544,'CompilationCalcs - Di et al.EOL'!$C$4:$C$544,dataforsankey!$M668,'CompilationCalcs - Di et al.EOL'!$E$4:$E$544,$N668,'CompilationCalcs - Di et al.EOL'!$A$4:$A$544,dataforsankey!$P668)</f>
        <v>0.18235906264642615</v>
      </c>
      <c r="P668" t="s">
        <v>30</v>
      </c>
      <c r="S668" t="s">
        <v>891</v>
      </c>
      <c r="T668" t="s">
        <v>86</v>
      </c>
      <c r="U668" s="11">
        <f t="shared" si="58"/>
        <v>0</v>
      </c>
      <c r="V668" t="s">
        <v>122</v>
      </c>
      <c r="Y668" t="s">
        <v>872</v>
      </c>
      <c r="Z668" t="s">
        <v>38</v>
      </c>
      <c r="AA668" s="11">
        <f t="shared" si="56"/>
        <v>1.9120311854792973E-2</v>
      </c>
      <c r="AB668" t="s">
        <v>32</v>
      </c>
      <c r="AE668" t="s">
        <v>872</v>
      </c>
      <c r="AF668" t="s">
        <v>38</v>
      </c>
      <c r="AG668" s="11">
        <f t="shared" si="57"/>
        <v>1.9120311854792973E-2</v>
      </c>
      <c r="AH668" t="s">
        <v>32</v>
      </c>
    </row>
    <row r="669" spans="13:34" x14ac:dyDescent="0.2">
      <c r="M669" t="s">
        <v>92</v>
      </c>
      <c r="N669" s="11" t="str">
        <f>IF($M669=PlasticsUse!$D$93,Conversions!$A$17,IF($M669=PlasticsUse!$L$93,Conversions!$A$18,Conversions!$A$16))</f>
        <v>Transfer Station</v>
      </c>
      <c r="O669" s="11">
        <f>SUMIFS('CompilationCalcs - Di et al.EOL'!$F$4:$F$544,'CompilationCalcs - Di et al.EOL'!$C$4:$C$544,dataforsankey!$M669,'CompilationCalcs - Di et al.EOL'!$E$4:$E$544,$N669,'CompilationCalcs - Di et al.EOL'!$A$4:$A$544,dataforsankey!$P669)</f>
        <v>0</v>
      </c>
      <c r="P669" t="s">
        <v>30</v>
      </c>
      <c r="S669" t="s">
        <v>891</v>
      </c>
      <c r="T669" t="s">
        <v>18</v>
      </c>
      <c r="U669" s="11">
        <f t="shared" si="58"/>
        <v>0</v>
      </c>
      <c r="V669" t="s">
        <v>122</v>
      </c>
      <c r="Y669" t="s">
        <v>872</v>
      </c>
      <c r="Z669" t="s">
        <v>99</v>
      </c>
      <c r="AA669" s="11">
        <f t="shared" si="56"/>
        <v>0</v>
      </c>
      <c r="AB669" t="s">
        <v>32</v>
      </c>
      <c r="AE669" t="s">
        <v>872</v>
      </c>
      <c r="AF669" t="s">
        <v>99</v>
      </c>
      <c r="AG669" s="11">
        <f t="shared" si="57"/>
        <v>0</v>
      </c>
      <c r="AH669" t="s">
        <v>32</v>
      </c>
    </row>
    <row r="670" spans="13:34" x14ac:dyDescent="0.2">
      <c r="M670" t="s">
        <v>103</v>
      </c>
      <c r="N670" s="11" t="str">
        <f>IF($M670=PlasticsUse!$D$93,Conversions!$A$17,IF($M670=PlasticsUse!$L$93,Conversions!$A$18,Conversions!$A$16))</f>
        <v>Transfer Station</v>
      </c>
      <c r="O670" s="11">
        <f>SUMIFS('CompilationCalcs - Di et al.EOL'!$F$4:$F$544,'CompilationCalcs - Di et al.EOL'!$C$4:$C$544,dataforsankey!$M670,'CompilationCalcs - Di et al.EOL'!$E$4:$E$544,$N670,'CompilationCalcs - Di et al.EOL'!$A$4:$A$544,dataforsankey!$P670)</f>
        <v>0.11144900980460934</v>
      </c>
      <c r="P670" t="s">
        <v>30</v>
      </c>
      <c r="S670" t="s">
        <v>891</v>
      </c>
      <c r="T670" t="s">
        <v>38</v>
      </c>
      <c r="U670" s="11">
        <f t="shared" si="58"/>
        <v>0</v>
      </c>
      <c r="V670" t="s">
        <v>32</v>
      </c>
      <c r="Y670" t="s">
        <v>872</v>
      </c>
      <c r="Z670" t="s">
        <v>69</v>
      </c>
      <c r="AA670" s="11">
        <f t="shared" si="56"/>
        <v>1.9120311854792973E-2</v>
      </c>
      <c r="AB670" t="s">
        <v>32</v>
      </c>
      <c r="AE670" t="s">
        <v>872</v>
      </c>
      <c r="AF670" t="s">
        <v>69</v>
      </c>
      <c r="AG670" s="11">
        <f t="shared" si="57"/>
        <v>1.9120311854792973E-2</v>
      </c>
      <c r="AH670" t="s">
        <v>32</v>
      </c>
    </row>
    <row r="671" spans="13:34" x14ac:dyDescent="0.2">
      <c r="M671" t="s">
        <v>86</v>
      </c>
      <c r="N671" s="11" t="str">
        <f>IF($M671=PlasticsUse!$D$93,Conversions!$A$17,IF($M671=PlasticsUse!$L$93,Conversions!$A$18,Conversions!$A$16))</f>
        <v>Transfer Station</v>
      </c>
      <c r="O671" s="11">
        <f>SUMIFS('CompilationCalcs - Di et al.EOL'!$F$4:$F$544,'CompilationCalcs - Di et al.EOL'!$C$4:$C$544,dataforsankey!$M671,'CompilationCalcs - Di et al.EOL'!$E$4:$E$544,$N671,'CompilationCalcs - Di et al.EOL'!$A$4:$A$544,dataforsankey!$P671)</f>
        <v>7.4787977182170923E-2</v>
      </c>
      <c r="P671" t="s">
        <v>30</v>
      </c>
      <c r="S671" t="s">
        <v>891</v>
      </c>
      <c r="T671" t="s">
        <v>99</v>
      </c>
      <c r="U671" s="11">
        <f t="shared" si="58"/>
        <v>0</v>
      </c>
      <c r="V671" t="s">
        <v>32</v>
      </c>
      <c r="Y671" t="s">
        <v>872</v>
      </c>
      <c r="Z671" t="s">
        <v>100</v>
      </c>
      <c r="AA671" s="11">
        <f t="shared" si="56"/>
        <v>0</v>
      </c>
      <c r="AB671" t="s">
        <v>32</v>
      </c>
      <c r="AE671" t="s">
        <v>872</v>
      </c>
      <c r="AF671" t="s">
        <v>100</v>
      </c>
      <c r="AG671" s="11">
        <f t="shared" si="57"/>
        <v>0</v>
      </c>
      <c r="AH671" t="s">
        <v>32</v>
      </c>
    </row>
    <row r="672" spans="13:34" x14ac:dyDescent="0.2">
      <c r="M672" t="s">
        <v>38</v>
      </c>
      <c r="N672" s="11" t="str">
        <f>IF($M672=PlasticsUse!$D$93,Conversions!$A$17,IF($M672=PlasticsUse!$L$93,Conversions!$A$18,Conversions!$A$16))</f>
        <v>Transfer Station</v>
      </c>
      <c r="O672" s="11">
        <f>SUMIFS('CompilationCalcs - Di et al.EOL'!$F$4:$F$544,'CompilationCalcs - Di et al.EOL'!$C$4:$C$544,dataforsankey!$M672,'CompilationCalcs - Di et al.EOL'!$E$4:$E$544,$N672,'CompilationCalcs - Di et al.EOL'!$A$4:$A$544,dataforsankey!$P672)</f>
        <v>0</v>
      </c>
      <c r="P672" t="s">
        <v>31</v>
      </c>
      <c r="S672" t="s">
        <v>891</v>
      </c>
      <c r="T672" t="s">
        <v>69</v>
      </c>
      <c r="U672" s="11">
        <f t="shared" si="58"/>
        <v>0.19752071849966238</v>
      </c>
      <c r="V672" t="s">
        <v>32</v>
      </c>
      <c r="Y672" t="s">
        <v>872</v>
      </c>
      <c r="Z672" t="s">
        <v>39</v>
      </c>
      <c r="AA672" s="11">
        <f t="shared" si="56"/>
        <v>4.7800779636982434E-3</v>
      </c>
      <c r="AB672" t="s">
        <v>32</v>
      </c>
      <c r="AE672" t="s">
        <v>872</v>
      </c>
      <c r="AF672" t="s">
        <v>39</v>
      </c>
      <c r="AG672" s="11">
        <f t="shared" si="57"/>
        <v>4.7800779636982434E-3</v>
      </c>
      <c r="AH672" t="s">
        <v>32</v>
      </c>
    </row>
    <row r="673" spans="13:34" x14ac:dyDescent="0.2">
      <c r="M673" t="s">
        <v>99</v>
      </c>
      <c r="N673" s="11" t="str">
        <f>IF($M673=PlasticsUse!$D$93,Conversions!$A$17,IF($M673=PlasticsUse!$L$93,Conversions!$A$18,Conversions!$A$16))</f>
        <v>Transfer Station</v>
      </c>
      <c r="O673" s="11">
        <f>SUMIFS('CompilationCalcs - Di et al.EOL'!$F$4:$F$544,'CompilationCalcs - Di et al.EOL'!$C$4:$C$544,dataforsankey!$M673,'CompilationCalcs - Di et al.EOL'!$E$4:$E$544,$N673,'CompilationCalcs - Di et al.EOL'!$A$4:$A$544,dataforsankey!$P673)</f>
        <v>0.16855729379694884</v>
      </c>
      <c r="P673" t="s">
        <v>31</v>
      </c>
      <c r="S673" t="s">
        <v>891</v>
      </c>
      <c r="T673" t="s">
        <v>100</v>
      </c>
      <c r="U673" s="11">
        <f t="shared" si="58"/>
        <v>0</v>
      </c>
      <c r="V673" t="s">
        <v>32</v>
      </c>
      <c r="Y673" t="s">
        <v>872</v>
      </c>
      <c r="Z673" t="s">
        <v>68</v>
      </c>
      <c r="AA673" s="11">
        <f t="shared" si="56"/>
        <v>2.3900389818491213E-2</v>
      </c>
      <c r="AB673" t="s">
        <v>32</v>
      </c>
      <c r="AE673" t="s">
        <v>872</v>
      </c>
      <c r="AF673" t="s">
        <v>68</v>
      </c>
      <c r="AG673" s="11">
        <f t="shared" si="57"/>
        <v>2.3900389818491213E-2</v>
      </c>
      <c r="AH673" t="s">
        <v>32</v>
      </c>
    </row>
    <row r="674" spans="13:34" x14ac:dyDescent="0.2">
      <c r="M674" t="s">
        <v>69</v>
      </c>
      <c r="N674" s="11" t="str">
        <f>IF($M674=PlasticsUse!$D$93,Conversions!$A$17,IF($M674=PlasticsUse!$L$93,Conversions!$A$18,Conversions!$A$16))</f>
        <v>Automotive Shredding Facility</v>
      </c>
      <c r="O674" s="11">
        <f>SUMIFS('CompilationCalcs - Di et al.EOL'!$F$4:$F$544,'CompilationCalcs - Di et al.EOL'!$C$4:$C$544,dataforsankey!$M674,'CompilationCalcs - Di et al.EOL'!$E$4:$E$544,$N674,'CompilationCalcs - Di et al.EOL'!$A$4:$A$544,dataforsankey!$P674)</f>
        <v>3.3151979060661384E-2</v>
      </c>
      <c r="P674" t="s">
        <v>31</v>
      </c>
      <c r="S674" t="s">
        <v>891</v>
      </c>
      <c r="T674" t="s">
        <v>39</v>
      </c>
      <c r="U674" s="11">
        <f t="shared" si="58"/>
        <v>3.8579716413371316E-2</v>
      </c>
      <c r="V674" t="s">
        <v>32</v>
      </c>
      <c r="Y674" t="s">
        <v>872</v>
      </c>
      <c r="Z674" t="s">
        <v>63</v>
      </c>
      <c r="AA674" s="11">
        <f t="shared" si="56"/>
        <v>4.7800779636982434E-3</v>
      </c>
      <c r="AB674" t="s">
        <v>32</v>
      </c>
      <c r="AE674" t="s">
        <v>872</v>
      </c>
      <c r="AF674" t="s">
        <v>63</v>
      </c>
      <c r="AG674" s="11">
        <f t="shared" si="57"/>
        <v>4.7800779636982434E-3</v>
      </c>
      <c r="AH674" t="s">
        <v>32</v>
      </c>
    </row>
    <row r="675" spans="13:34" x14ac:dyDescent="0.2">
      <c r="M675" t="s">
        <v>100</v>
      </c>
      <c r="N675" s="11" t="str">
        <f>IF($M675=PlasticsUse!$D$93,Conversions!$A$17,IF($M675=PlasticsUse!$L$93,Conversions!$A$18,Conversions!$A$16))</f>
        <v>Transfer Station</v>
      </c>
      <c r="O675" s="11">
        <f>SUMIFS('CompilationCalcs - Di et al.EOL'!$F$4:$F$544,'CompilationCalcs - Di et al.EOL'!$C$4:$C$544,dataforsankey!$M675,'CompilationCalcs - Di et al.EOL'!$E$4:$E$544,$N675,'CompilationCalcs - Di et al.EOL'!$A$4:$A$544,dataforsankey!$P675)</f>
        <v>7.499716768996513E-2</v>
      </c>
      <c r="P675" t="s">
        <v>31</v>
      </c>
      <c r="S675" t="s">
        <v>891</v>
      </c>
      <c r="T675" t="s">
        <v>68</v>
      </c>
      <c r="U675" s="11">
        <f t="shared" si="58"/>
        <v>0.31529390835303689</v>
      </c>
      <c r="V675" t="s">
        <v>32</v>
      </c>
      <c r="Y675" t="s">
        <v>872</v>
      </c>
      <c r="Z675" t="s">
        <v>92</v>
      </c>
      <c r="AA675" s="11">
        <f t="shared" si="56"/>
        <v>0</v>
      </c>
      <c r="AB675" t="s">
        <v>32</v>
      </c>
      <c r="AE675" t="s">
        <v>872</v>
      </c>
      <c r="AF675" t="s">
        <v>92</v>
      </c>
      <c r="AG675" s="11">
        <f t="shared" si="57"/>
        <v>0</v>
      </c>
      <c r="AH675" t="s">
        <v>32</v>
      </c>
    </row>
    <row r="676" spans="13:34" x14ac:dyDescent="0.2">
      <c r="M676" t="s">
        <v>39</v>
      </c>
      <c r="N676" s="11" t="str">
        <f>IF($M676=PlasticsUse!$D$93,Conversions!$A$17,IF($M676=PlasticsUse!$L$93,Conversions!$A$18,Conversions!$A$16))</f>
        <v>Transfer Station</v>
      </c>
      <c r="O676" s="11">
        <f>SUMIFS('CompilationCalcs - Di et al.EOL'!$F$4:$F$544,'CompilationCalcs - Di et al.EOL'!$C$4:$C$544,dataforsankey!$M676,'CompilationCalcs - Di et al.EOL'!$E$4:$E$544,$N676,'CompilationCalcs - Di et al.EOL'!$A$4:$A$544,dataforsankey!$P676)</f>
        <v>0</v>
      </c>
      <c r="P676" t="s">
        <v>31</v>
      </c>
      <c r="S676" t="s">
        <v>891</v>
      </c>
      <c r="T676" t="s">
        <v>63</v>
      </c>
      <c r="U676" s="11">
        <f t="shared" si="58"/>
        <v>2.3660324087977396E-2</v>
      </c>
      <c r="V676" t="s">
        <v>32</v>
      </c>
      <c r="Y676" t="s">
        <v>872</v>
      </c>
      <c r="Z676" t="s">
        <v>103</v>
      </c>
      <c r="AA676" s="11">
        <f t="shared" si="56"/>
        <v>0</v>
      </c>
      <c r="AB676" t="s">
        <v>32</v>
      </c>
      <c r="AE676" t="s">
        <v>872</v>
      </c>
      <c r="AF676" t="s">
        <v>103</v>
      </c>
      <c r="AG676" s="11">
        <f t="shared" si="57"/>
        <v>0</v>
      </c>
      <c r="AH676" t="s">
        <v>32</v>
      </c>
    </row>
    <row r="677" spans="13:34" x14ac:dyDescent="0.2">
      <c r="M677" t="s">
        <v>68</v>
      </c>
      <c r="N677" s="11" t="str">
        <f>IF($M677=PlasticsUse!$D$93,Conversions!$A$17,IF($M677=PlasticsUse!$L$93,Conversions!$A$18,Conversions!$A$16))</f>
        <v>Transfer Station</v>
      </c>
      <c r="O677" s="11">
        <f>SUMIFS('CompilationCalcs - Di et al.EOL'!$F$4:$F$544,'CompilationCalcs - Di et al.EOL'!$C$4:$C$544,dataforsankey!$M677,'CompilationCalcs - Di et al.EOL'!$E$4:$E$544,$N677,'CompilationCalcs - Di et al.EOL'!$A$4:$A$544,dataforsankey!$P677)</f>
        <v>0.13944888725784749</v>
      </c>
      <c r="P677" t="s">
        <v>31</v>
      </c>
      <c r="S677" t="s">
        <v>891</v>
      </c>
      <c r="T677" t="s">
        <v>92</v>
      </c>
      <c r="U677" s="11">
        <f t="shared" si="58"/>
        <v>0</v>
      </c>
      <c r="V677" t="s">
        <v>32</v>
      </c>
      <c r="Y677" t="s">
        <v>872</v>
      </c>
      <c r="Z677" t="s">
        <v>86</v>
      </c>
      <c r="AA677" s="11">
        <f t="shared" si="56"/>
        <v>2.3900389818491213E-2</v>
      </c>
      <c r="AB677" t="s">
        <v>32</v>
      </c>
      <c r="AE677" t="s">
        <v>872</v>
      </c>
      <c r="AF677" t="s">
        <v>86</v>
      </c>
      <c r="AG677" s="11">
        <f t="shared" si="57"/>
        <v>2.3900389818491213E-2</v>
      </c>
      <c r="AH677" t="s">
        <v>32</v>
      </c>
    </row>
    <row r="678" spans="13:34" x14ac:dyDescent="0.2">
      <c r="M678" t="s">
        <v>63</v>
      </c>
      <c r="N678" s="11" t="str">
        <f>IF($M678=PlasticsUse!$D$93,Conversions!$A$17,IF($M678=PlasticsUse!$L$93,Conversions!$A$18,Conversions!$A$16))</f>
        <v>Transfer Station</v>
      </c>
      <c r="O678" s="11">
        <f>SUMIFS('CompilationCalcs - Di et al.EOL'!$F$4:$F$544,'CompilationCalcs - Di et al.EOL'!$C$4:$C$544,dataforsankey!$M678,'CompilationCalcs - Di et al.EOL'!$E$4:$E$544,$N678,'CompilationCalcs - Di et al.EOL'!$A$4:$A$544,dataforsankey!$P678)</f>
        <v>1.6875159822696266E-2</v>
      </c>
      <c r="P678" t="s">
        <v>31</v>
      </c>
      <c r="S678" t="s">
        <v>891</v>
      </c>
      <c r="T678" t="s">
        <v>103</v>
      </c>
      <c r="U678" s="11">
        <f t="shared" si="58"/>
        <v>0</v>
      </c>
      <c r="V678" t="s">
        <v>32</v>
      </c>
      <c r="Y678" t="s">
        <v>872</v>
      </c>
      <c r="Z678" t="s">
        <v>18</v>
      </c>
      <c r="AA678" s="11">
        <f t="shared" si="56"/>
        <v>0</v>
      </c>
      <c r="AB678" t="s">
        <v>32</v>
      </c>
      <c r="AE678" t="s">
        <v>872</v>
      </c>
      <c r="AF678" t="s">
        <v>18</v>
      </c>
      <c r="AG678" s="11">
        <f t="shared" si="57"/>
        <v>0</v>
      </c>
      <c r="AH678" t="s">
        <v>32</v>
      </c>
    </row>
    <row r="679" spans="13:34" x14ac:dyDescent="0.2">
      <c r="M679" t="s">
        <v>92</v>
      </c>
      <c r="N679" s="11" t="str">
        <f>IF($M679=PlasticsUse!$D$93,Conversions!$A$17,IF($M679=PlasticsUse!$L$93,Conversions!$A$18,Conversions!$A$16))</f>
        <v>Transfer Station</v>
      </c>
      <c r="O679" s="11">
        <f>SUMIFS('CompilationCalcs - Di et al.EOL'!$F$4:$F$544,'CompilationCalcs - Di et al.EOL'!$C$4:$C$544,dataforsankey!$M679,'CompilationCalcs - Di et al.EOL'!$E$4:$E$544,$N679,'CompilationCalcs - Di et al.EOL'!$A$4:$A$544,dataforsankey!$P679)</f>
        <v>0</v>
      </c>
      <c r="P679" t="s">
        <v>31</v>
      </c>
      <c r="S679" t="s">
        <v>891</v>
      </c>
      <c r="T679" t="s">
        <v>86</v>
      </c>
      <c r="U679" s="11">
        <f t="shared" si="58"/>
        <v>0</v>
      </c>
      <c r="V679" t="s">
        <v>32</v>
      </c>
      <c r="Y679" t="s">
        <v>872</v>
      </c>
      <c r="Z679" t="s">
        <v>38</v>
      </c>
      <c r="AA679" s="11">
        <f t="shared" si="56"/>
        <v>0</v>
      </c>
      <c r="AB679" t="s">
        <v>105</v>
      </c>
      <c r="AE679" t="s">
        <v>872</v>
      </c>
      <c r="AF679" t="s">
        <v>38</v>
      </c>
      <c r="AG679" s="11">
        <f t="shared" si="57"/>
        <v>0</v>
      </c>
      <c r="AH679" t="s">
        <v>105</v>
      </c>
    </row>
    <row r="680" spans="13:34" x14ac:dyDescent="0.2">
      <c r="M680" t="s">
        <v>103</v>
      </c>
      <c r="N680" s="11" t="str">
        <f>IF($M680=PlasticsUse!$D$93,Conversions!$A$17,IF($M680=PlasticsUse!$L$93,Conversions!$A$18,Conversions!$A$16))</f>
        <v>Transfer Station</v>
      </c>
      <c r="O680" s="11">
        <f>SUMIFS('CompilationCalcs - Di et al.EOL'!$F$4:$F$544,'CompilationCalcs - Di et al.EOL'!$C$4:$C$544,dataforsankey!$M680,'CompilationCalcs - Di et al.EOL'!$E$4:$E$544,$N680,'CompilationCalcs - Di et al.EOL'!$A$4:$A$544,dataforsankey!$P680)</f>
        <v>0.54781120484008372</v>
      </c>
      <c r="P680" t="s">
        <v>31</v>
      </c>
      <c r="S680" t="s">
        <v>891</v>
      </c>
      <c r="T680" t="s">
        <v>18</v>
      </c>
      <c r="U680" s="11">
        <f t="shared" si="58"/>
        <v>0</v>
      </c>
      <c r="V680" t="s">
        <v>32</v>
      </c>
      <c r="Y680" t="s">
        <v>872</v>
      </c>
      <c r="Z680" t="s">
        <v>99</v>
      </c>
      <c r="AA680" s="11">
        <f t="shared" si="56"/>
        <v>0</v>
      </c>
      <c r="AB680" t="s">
        <v>105</v>
      </c>
      <c r="AE680" t="s">
        <v>872</v>
      </c>
      <c r="AF680" t="s">
        <v>99</v>
      </c>
      <c r="AG680" s="11">
        <f t="shared" si="57"/>
        <v>0</v>
      </c>
      <c r="AH680" t="s">
        <v>105</v>
      </c>
    </row>
    <row r="681" spans="13:34" x14ac:dyDescent="0.2">
      <c r="M681" t="s">
        <v>86</v>
      </c>
      <c r="N681" s="11" t="str">
        <f>IF($M681=PlasticsUse!$D$93,Conversions!$A$17,IF($M681=PlasticsUse!$L$93,Conversions!$A$18,Conversions!$A$16))</f>
        <v>Transfer Station</v>
      </c>
      <c r="O681" s="11">
        <f>SUMIFS('CompilationCalcs - Di et al.EOL'!$F$4:$F$544,'CompilationCalcs - Di et al.EOL'!$C$4:$C$544,dataforsankey!$M681,'CompilationCalcs - Di et al.EOL'!$E$4:$E$544,$N681,'CompilationCalcs - Di et al.EOL'!$A$4:$A$544,dataforsankey!$P681)</f>
        <v>0</v>
      </c>
      <c r="P681" t="s">
        <v>31</v>
      </c>
      <c r="S681" t="s">
        <v>891</v>
      </c>
      <c r="T681" t="s">
        <v>38</v>
      </c>
      <c r="U681" s="11">
        <f t="shared" si="58"/>
        <v>0</v>
      </c>
      <c r="V681" t="s">
        <v>105</v>
      </c>
      <c r="Y681" t="s">
        <v>872</v>
      </c>
      <c r="Z681" t="s">
        <v>69</v>
      </c>
      <c r="AA681" s="11">
        <f t="shared" si="56"/>
        <v>0</v>
      </c>
      <c r="AB681" t="s">
        <v>105</v>
      </c>
      <c r="AE681" t="s">
        <v>872</v>
      </c>
      <c r="AF681" t="s">
        <v>69</v>
      </c>
      <c r="AG681" s="11">
        <f t="shared" si="57"/>
        <v>0</v>
      </c>
      <c r="AH681" t="s">
        <v>105</v>
      </c>
    </row>
    <row r="682" spans="13:34" x14ac:dyDescent="0.2">
      <c r="M682" t="s">
        <v>38</v>
      </c>
      <c r="N682" s="11" t="str">
        <f>IF($M682=PlasticsUse!$D$93,Conversions!$A$17,IF($M682=PlasticsUse!$L$93,Conversions!$A$18,Conversions!$A$16))</f>
        <v>Transfer Station</v>
      </c>
      <c r="O682" s="11">
        <f>SUMIFS('CompilationCalcs - Di et al.EOL'!$F$4:$F$544,'CompilationCalcs - Di et al.EOL'!$C$4:$C$544,dataforsankey!$M682,'CompilationCalcs - Di et al.EOL'!$E$4:$E$544,$N682,'CompilationCalcs - Di et al.EOL'!$A$4:$A$544,dataforsankey!$P682)</f>
        <v>0</v>
      </c>
      <c r="P682" t="s">
        <v>122</v>
      </c>
      <c r="S682" t="s">
        <v>891</v>
      </c>
      <c r="T682" t="s">
        <v>99</v>
      </c>
      <c r="U682" s="11">
        <f t="shared" si="58"/>
        <v>0</v>
      </c>
      <c r="V682" t="s">
        <v>105</v>
      </c>
      <c r="Y682" t="s">
        <v>872</v>
      </c>
      <c r="Z682" t="s">
        <v>100</v>
      </c>
      <c r="AA682" s="11">
        <f t="shared" si="56"/>
        <v>0</v>
      </c>
      <c r="AB682" t="s">
        <v>105</v>
      </c>
      <c r="AE682" t="s">
        <v>872</v>
      </c>
      <c r="AF682" t="s">
        <v>100</v>
      </c>
      <c r="AG682" s="11">
        <f t="shared" si="57"/>
        <v>0</v>
      </c>
      <c r="AH682" t="s">
        <v>105</v>
      </c>
    </row>
    <row r="683" spans="13:34" x14ac:dyDescent="0.2">
      <c r="M683" t="s">
        <v>99</v>
      </c>
      <c r="N683" s="11" t="str">
        <f>IF($M683=PlasticsUse!$D$93,Conversions!$A$17,IF($M683=PlasticsUse!$L$93,Conversions!$A$18,Conversions!$A$16))</f>
        <v>Transfer Station</v>
      </c>
      <c r="O683" s="11">
        <f>SUMIFS('CompilationCalcs - Di et al.EOL'!$F$4:$F$544,'CompilationCalcs - Di et al.EOL'!$C$4:$C$544,dataforsankey!$M683,'CompilationCalcs - Di et al.EOL'!$E$4:$E$544,$N683,'CompilationCalcs - Di et al.EOL'!$A$4:$A$544,dataforsankey!$P683)</f>
        <v>0</v>
      </c>
      <c r="P683" t="s">
        <v>122</v>
      </c>
      <c r="S683" t="s">
        <v>891</v>
      </c>
      <c r="T683" t="s">
        <v>69</v>
      </c>
      <c r="U683" s="11">
        <f t="shared" si="58"/>
        <v>0.17562784680527832</v>
      </c>
      <c r="V683" t="s">
        <v>105</v>
      </c>
      <c r="Y683" t="s">
        <v>872</v>
      </c>
      <c r="Z683" t="s">
        <v>39</v>
      </c>
      <c r="AA683" s="11">
        <f t="shared" si="56"/>
        <v>0</v>
      </c>
      <c r="AB683" t="s">
        <v>105</v>
      </c>
      <c r="AE683" t="s">
        <v>872</v>
      </c>
      <c r="AF683" t="s">
        <v>39</v>
      </c>
      <c r="AG683" s="11">
        <f t="shared" si="57"/>
        <v>0</v>
      </c>
      <c r="AH683" t="s">
        <v>105</v>
      </c>
    </row>
    <row r="684" spans="13:34" x14ac:dyDescent="0.2">
      <c r="M684" t="s">
        <v>69</v>
      </c>
      <c r="N684" s="11" t="str">
        <f>IF($M684=PlasticsUse!$D$93,Conversions!$A$17,IF($M684=PlasticsUse!$L$93,Conversions!$A$18,Conversions!$A$16))</f>
        <v>Automotive Shredding Facility</v>
      </c>
      <c r="O684" s="11">
        <f>SUMIFS('CompilationCalcs - Di et al.EOL'!$F$4:$F$544,'CompilationCalcs - Di et al.EOL'!$C$4:$C$544,dataforsankey!$M684,'CompilationCalcs - Di et al.EOL'!$E$4:$E$544,$N684,'CompilationCalcs - Di et al.EOL'!$A$4:$A$544,dataforsankey!$P684)</f>
        <v>0</v>
      </c>
      <c r="P684" t="s">
        <v>122</v>
      </c>
      <c r="S684" t="s">
        <v>891</v>
      </c>
      <c r="T684" t="s">
        <v>100</v>
      </c>
      <c r="U684" s="11">
        <f t="shared" si="58"/>
        <v>0</v>
      </c>
      <c r="V684" t="s">
        <v>105</v>
      </c>
      <c r="Y684" t="s">
        <v>872</v>
      </c>
      <c r="Z684" t="s">
        <v>68</v>
      </c>
      <c r="AA684" s="11">
        <f t="shared" si="56"/>
        <v>0</v>
      </c>
      <c r="AB684" t="s">
        <v>105</v>
      </c>
      <c r="AE684" t="s">
        <v>872</v>
      </c>
      <c r="AF684" t="s">
        <v>68</v>
      </c>
      <c r="AG684" s="11">
        <f t="shared" si="57"/>
        <v>0</v>
      </c>
      <c r="AH684" t="s">
        <v>105</v>
      </c>
    </row>
    <row r="685" spans="13:34" x14ac:dyDescent="0.2">
      <c r="M685" t="s">
        <v>100</v>
      </c>
      <c r="N685" s="11" t="str">
        <f>IF($M685=PlasticsUse!$D$93,Conversions!$A$17,IF($M685=PlasticsUse!$L$93,Conversions!$A$18,Conversions!$A$16))</f>
        <v>Transfer Station</v>
      </c>
      <c r="O685" s="11">
        <f>SUMIFS('CompilationCalcs - Di et al.EOL'!$F$4:$F$544,'CompilationCalcs - Di et al.EOL'!$C$4:$C$544,dataforsankey!$M685,'CompilationCalcs - Di et al.EOL'!$E$4:$E$544,$N685,'CompilationCalcs - Di et al.EOL'!$A$4:$A$544,dataforsankey!$P685)</f>
        <v>0</v>
      </c>
      <c r="P685" t="s">
        <v>122</v>
      </c>
      <c r="S685" t="s">
        <v>891</v>
      </c>
      <c r="T685" t="s">
        <v>39</v>
      </c>
      <c r="U685" s="11">
        <f t="shared" si="58"/>
        <v>0</v>
      </c>
      <c r="V685" t="s">
        <v>105</v>
      </c>
      <c r="Y685" t="s">
        <v>872</v>
      </c>
      <c r="Z685" t="s">
        <v>63</v>
      </c>
      <c r="AA685" s="11">
        <f t="shared" si="56"/>
        <v>0</v>
      </c>
      <c r="AB685" t="s">
        <v>105</v>
      </c>
      <c r="AE685" t="s">
        <v>872</v>
      </c>
      <c r="AF685" t="s">
        <v>63</v>
      </c>
      <c r="AG685" s="11">
        <f t="shared" si="57"/>
        <v>0</v>
      </c>
      <c r="AH685" t="s">
        <v>105</v>
      </c>
    </row>
    <row r="686" spans="13:34" x14ac:dyDescent="0.2">
      <c r="M686" t="s">
        <v>39</v>
      </c>
      <c r="N686" s="11" t="str">
        <f>IF($M686=PlasticsUse!$D$93,Conversions!$A$17,IF($M686=PlasticsUse!$L$93,Conversions!$A$18,Conversions!$A$16))</f>
        <v>Transfer Station</v>
      </c>
      <c r="O686" s="11">
        <f>SUMIFS('CompilationCalcs - Di et al.EOL'!$F$4:$F$544,'CompilationCalcs - Di et al.EOL'!$C$4:$C$544,dataforsankey!$M686,'CompilationCalcs - Di et al.EOL'!$E$4:$E$544,$N686,'CompilationCalcs - Di et al.EOL'!$A$4:$A$544,dataforsankey!$P686)</f>
        <v>0</v>
      </c>
      <c r="P686" t="s">
        <v>122</v>
      </c>
      <c r="S686" t="s">
        <v>891</v>
      </c>
      <c r="T686" t="s">
        <v>68</v>
      </c>
      <c r="U686" s="11">
        <f t="shared" si="58"/>
        <v>0</v>
      </c>
      <c r="V686" t="s">
        <v>105</v>
      </c>
      <c r="Y686" t="s">
        <v>872</v>
      </c>
      <c r="Z686" t="s">
        <v>92</v>
      </c>
      <c r="AA686" s="11">
        <f t="shared" si="56"/>
        <v>0</v>
      </c>
      <c r="AB686" t="s">
        <v>105</v>
      </c>
      <c r="AE686" t="s">
        <v>872</v>
      </c>
      <c r="AF686" t="s">
        <v>92</v>
      </c>
      <c r="AG686" s="11">
        <f t="shared" si="57"/>
        <v>0</v>
      </c>
      <c r="AH686" t="s">
        <v>105</v>
      </c>
    </row>
    <row r="687" spans="13:34" x14ac:dyDescent="0.2">
      <c r="M687" t="s">
        <v>68</v>
      </c>
      <c r="N687" s="11" t="str">
        <f>IF($M687=PlasticsUse!$D$93,Conversions!$A$17,IF($M687=PlasticsUse!$L$93,Conversions!$A$18,Conversions!$A$16))</f>
        <v>Transfer Station</v>
      </c>
      <c r="O687" s="11">
        <f>SUMIFS('CompilationCalcs - Di et al.EOL'!$F$4:$F$544,'CompilationCalcs - Di et al.EOL'!$C$4:$C$544,dataforsankey!$M687,'CompilationCalcs - Di et al.EOL'!$E$4:$E$544,$N687,'CompilationCalcs - Di et al.EOL'!$A$4:$A$544,dataforsankey!$P687)</f>
        <v>0</v>
      </c>
      <c r="P687" t="s">
        <v>122</v>
      </c>
      <c r="S687" t="s">
        <v>891</v>
      </c>
      <c r="T687" t="s">
        <v>63</v>
      </c>
      <c r="U687" s="11">
        <f t="shared" si="58"/>
        <v>0</v>
      </c>
      <c r="V687" t="s">
        <v>105</v>
      </c>
      <c r="Y687" t="s">
        <v>872</v>
      </c>
      <c r="Z687" t="s">
        <v>103</v>
      </c>
      <c r="AA687" s="11">
        <f t="shared" si="56"/>
        <v>0</v>
      </c>
      <c r="AB687" t="s">
        <v>105</v>
      </c>
      <c r="AE687" t="s">
        <v>872</v>
      </c>
      <c r="AF687" t="s">
        <v>103</v>
      </c>
      <c r="AG687" s="11">
        <f t="shared" si="57"/>
        <v>0</v>
      </c>
      <c r="AH687" t="s">
        <v>105</v>
      </c>
    </row>
    <row r="688" spans="13:34" x14ac:dyDescent="0.2">
      <c r="M688" t="s">
        <v>63</v>
      </c>
      <c r="N688" s="11" t="str">
        <f>IF($M688=PlasticsUse!$D$93,Conversions!$A$17,IF($M688=PlasticsUse!$L$93,Conversions!$A$18,Conversions!$A$16))</f>
        <v>Transfer Station</v>
      </c>
      <c r="O688" s="11">
        <f>SUMIFS('CompilationCalcs - Di et al.EOL'!$F$4:$F$544,'CompilationCalcs - Di et al.EOL'!$C$4:$C$544,dataforsankey!$M688,'CompilationCalcs - Di et al.EOL'!$E$4:$E$544,$N688,'CompilationCalcs - Di et al.EOL'!$A$4:$A$544,dataforsankey!$P688)</f>
        <v>0</v>
      </c>
      <c r="P688" t="s">
        <v>122</v>
      </c>
      <c r="S688" t="s">
        <v>891</v>
      </c>
      <c r="T688" t="s">
        <v>92</v>
      </c>
      <c r="U688" s="11">
        <f t="shared" si="58"/>
        <v>0</v>
      </c>
      <c r="V688" t="s">
        <v>105</v>
      </c>
      <c r="Y688" t="s">
        <v>872</v>
      </c>
      <c r="Z688" t="s">
        <v>86</v>
      </c>
      <c r="AA688" s="11">
        <f t="shared" si="56"/>
        <v>0</v>
      </c>
      <c r="AB688" t="s">
        <v>105</v>
      </c>
      <c r="AE688" t="s">
        <v>872</v>
      </c>
      <c r="AF688" t="s">
        <v>86</v>
      </c>
      <c r="AG688" s="11">
        <f t="shared" si="57"/>
        <v>0</v>
      </c>
      <c r="AH688" t="s">
        <v>105</v>
      </c>
    </row>
    <row r="689" spans="13:34" x14ac:dyDescent="0.2">
      <c r="M689" t="s">
        <v>92</v>
      </c>
      <c r="N689" s="11" t="str">
        <f>IF($M689=PlasticsUse!$D$93,Conversions!$A$17,IF($M689=PlasticsUse!$L$93,Conversions!$A$18,Conversions!$A$16))</f>
        <v>Transfer Station</v>
      </c>
      <c r="O689" s="11">
        <f>SUMIFS('CompilationCalcs - Di et al.EOL'!$F$4:$F$544,'CompilationCalcs - Di et al.EOL'!$C$4:$C$544,dataforsankey!$M689,'CompilationCalcs - Di et al.EOL'!$E$4:$E$544,$N689,'CompilationCalcs - Di et al.EOL'!$A$4:$A$544,dataforsankey!$P689)</f>
        <v>0</v>
      </c>
      <c r="P689" t="s">
        <v>122</v>
      </c>
      <c r="S689" t="s">
        <v>891</v>
      </c>
      <c r="T689" t="s">
        <v>103</v>
      </c>
      <c r="U689" s="11">
        <f t="shared" si="58"/>
        <v>1.7139572271900574E-2</v>
      </c>
      <c r="V689" t="s">
        <v>105</v>
      </c>
      <c r="Y689" t="s">
        <v>872</v>
      </c>
      <c r="Z689" t="s">
        <v>18</v>
      </c>
      <c r="AA689" s="11">
        <f t="shared" si="56"/>
        <v>0</v>
      </c>
      <c r="AB689" t="s">
        <v>105</v>
      </c>
      <c r="AE689" t="s">
        <v>872</v>
      </c>
      <c r="AF689" t="s">
        <v>18</v>
      </c>
      <c r="AG689" s="11">
        <f t="shared" si="57"/>
        <v>0</v>
      </c>
      <c r="AH689" t="s">
        <v>105</v>
      </c>
    </row>
    <row r="690" spans="13:34" x14ac:dyDescent="0.2">
      <c r="M690" t="s">
        <v>103</v>
      </c>
      <c r="N690" s="11" t="str">
        <f>IF($M690=PlasticsUse!$D$93,Conversions!$A$17,IF($M690=PlasticsUse!$L$93,Conversions!$A$18,Conversions!$A$16))</f>
        <v>Transfer Station</v>
      </c>
      <c r="O690" s="11">
        <f>SUMIFS('CompilationCalcs - Di et al.EOL'!$F$4:$F$544,'CompilationCalcs - Di et al.EOL'!$C$4:$C$544,dataforsankey!$M690,'CompilationCalcs - Di et al.EOL'!$E$4:$E$544,$N690,'CompilationCalcs - Di et al.EOL'!$A$4:$A$544,dataforsankey!$P690)</f>
        <v>0</v>
      </c>
      <c r="P690" t="s">
        <v>122</v>
      </c>
      <c r="S690" t="s">
        <v>891</v>
      </c>
      <c r="T690" t="s">
        <v>86</v>
      </c>
      <c r="U690" s="11">
        <f t="shared" si="58"/>
        <v>0</v>
      </c>
      <c r="V690" t="s">
        <v>105</v>
      </c>
      <c r="Y690" t="s">
        <v>872</v>
      </c>
      <c r="Z690" t="s">
        <v>38</v>
      </c>
      <c r="AA690" s="11">
        <f t="shared" si="56"/>
        <v>0</v>
      </c>
      <c r="AB690" t="s">
        <v>576</v>
      </c>
      <c r="AE690" t="s">
        <v>872</v>
      </c>
      <c r="AF690" t="s">
        <v>38</v>
      </c>
      <c r="AG690" s="11">
        <f t="shared" si="57"/>
        <v>0</v>
      </c>
      <c r="AH690" t="s">
        <v>576</v>
      </c>
    </row>
    <row r="691" spans="13:34" x14ac:dyDescent="0.2">
      <c r="M691" t="s">
        <v>86</v>
      </c>
      <c r="N691" s="11" t="str">
        <f>IF($M691=PlasticsUse!$D$93,Conversions!$A$17,IF($M691=PlasticsUse!$L$93,Conversions!$A$18,Conversions!$A$16))</f>
        <v>Transfer Station</v>
      </c>
      <c r="O691" s="11">
        <f>SUMIFS('CompilationCalcs - Di et al.EOL'!$F$4:$F$544,'CompilationCalcs - Di et al.EOL'!$C$4:$C$544,dataforsankey!$M691,'CompilationCalcs - Di et al.EOL'!$E$4:$E$544,$N691,'CompilationCalcs - Di et al.EOL'!$A$4:$A$544,dataforsankey!$P691)</f>
        <v>0.5906203232650975</v>
      </c>
      <c r="P691" t="s">
        <v>122</v>
      </c>
      <c r="S691" t="s">
        <v>891</v>
      </c>
      <c r="T691" t="s">
        <v>18</v>
      </c>
      <c r="U691" s="11">
        <f t="shared" si="58"/>
        <v>0</v>
      </c>
      <c r="V691" t="s">
        <v>105</v>
      </c>
      <c r="Y691" t="s">
        <v>872</v>
      </c>
      <c r="Z691" t="s">
        <v>99</v>
      </c>
      <c r="AA691" s="11">
        <f t="shared" si="56"/>
        <v>0</v>
      </c>
      <c r="AB691" t="s">
        <v>576</v>
      </c>
      <c r="AE691" t="s">
        <v>872</v>
      </c>
      <c r="AF691" t="s">
        <v>99</v>
      </c>
      <c r="AG691" s="11">
        <f t="shared" si="57"/>
        <v>0</v>
      </c>
      <c r="AH691" t="s">
        <v>576</v>
      </c>
    </row>
    <row r="692" spans="13:34" x14ac:dyDescent="0.2">
      <c r="M692" t="s">
        <v>38</v>
      </c>
      <c r="N692" s="11" t="str">
        <f>IF($M692=PlasticsUse!$D$93,Conversions!$A$17,IF($M692=PlasticsUse!$L$93,Conversions!$A$18,Conversions!$A$16))</f>
        <v>Transfer Station</v>
      </c>
      <c r="O692" s="11">
        <f>SUMIFS('CompilationCalcs - Di et al.EOL'!$F$4:$F$544,'CompilationCalcs - Di et al.EOL'!$C$4:$C$544,dataforsankey!$M692,'CompilationCalcs - Di et al.EOL'!$E$4:$E$544,$N692,'CompilationCalcs - Di et al.EOL'!$A$4:$A$544,dataforsankey!$P692)</f>
        <v>0.31058137849398898</v>
      </c>
      <c r="P692" t="s">
        <v>32</v>
      </c>
      <c r="S692" t="s">
        <v>891</v>
      </c>
      <c r="T692" t="s">
        <v>38</v>
      </c>
      <c r="U692" s="11">
        <f t="shared" si="58"/>
        <v>0</v>
      </c>
      <c r="V692" t="s">
        <v>576</v>
      </c>
      <c r="Y692" t="s">
        <v>872</v>
      </c>
      <c r="Z692" t="s">
        <v>69</v>
      </c>
      <c r="AA692" s="11">
        <f t="shared" si="56"/>
        <v>0</v>
      </c>
      <c r="AB692" t="s">
        <v>576</v>
      </c>
      <c r="AE692" t="s">
        <v>872</v>
      </c>
      <c r="AF692" t="s">
        <v>69</v>
      </c>
      <c r="AG692" s="11">
        <f t="shared" si="57"/>
        <v>0</v>
      </c>
      <c r="AH692" t="s">
        <v>576</v>
      </c>
    </row>
    <row r="693" spans="13:34" x14ac:dyDescent="0.2">
      <c r="M693" t="s">
        <v>99</v>
      </c>
      <c r="N693" s="11" t="str">
        <f>IF($M693=PlasticsUse!$D$93,Conversions!$A$17,IF($M693=PlasticsUse!$L$93,Conversions!$A$18,Conversions!$A$16))</f>
        <v>Transfer Station</v>
      </c>
      <c r="O693" s="11">
        <f>SUMIFS('CompilationCalcs - Di et al.EOL'!$F$4:$F$544,'CompilationCalcs - Di et al.EOL'!$C$4:$C$544,dataforsankey!$M693,'CompilationCalcs - Di et al.EOL'!$E$4:$E$544,$N693,'CompilationCalcs - Di et al.EOL'!$A$4:$A$544,dataforsankey!$P693)</f>
        <v>0</v>
      </c>
      <c r="P693" t="s">
        <v>32</v>
      </c>
      <c r="S693" t="s">
        <v>891</v>
      </c>
      <c r="T693" t="s">
        <v>99</v>
      </c>
      <c r="U693" s="11">
        <f t="shared" si="58"/>
        <v>0</v>
      </c>
      <c r="V693" t="s">
        <v>576</v>
      </c>
      <c r="Y693" t="s">
        <v>872</v>
      </c>
      <c r="Z693" t="s">
        <v>100</v>
      </c>
      <c r="AA693" s="11">
        <f t="shared" si="56"/>
        <v>0</v>
      </c>
      <c r="AB693" t="s">
        <v>576</v>
      </c>
      <c r="AE693" t="s">
        <v>872</v>
      </c>
      <c r="AF693" t="s">
        <v>100</v>
      </c>
      <c r="AG693" s="11">
        <f t="shared" si="57"/>
        <v>0</v>
      </c>
      <c r="AH693" t="s">
        <v>576</v>
      </c>
    </row>
    <row r="694" spans="13:34" x14ac:dyDescent="0.2">
      <c r="M694" t="s">
        <v>69</v>
      </c>
      <c r="N694" s="11" t="str">
        <f>IF($M694=PlasticsUse!$D$93,Conversions!$A$17,IF($M694=PlasticsUse!$L$93,Conversions!$A$18,Conversions!$A$16))</f>
        <v>Automotive Shredding Facility</v>
      </c>
      <c r="O694" s="11">
        <f>SUMIFS('CompilationCalcs - Di et al.EOL'!$F$4:$F$544,'CompilationCalcs - Di et al.EOL'!$C$4:$C$544,dataforsankey!$M694,'CompilationCalcs - Di et al.EOL'!$E$4:$E$544,$N694,'CompilationCalcs - Di et al.EOL'!$A$4:$A$544,dataforsankey!$P694)</f>
        <v>0.81944083760395414</v>
      </c>
      <c r="P694" t="s">
        <v>32</v>
      </c>
      <c r="S694" t="s">
        <v>891</v>
      </c>
      <c r="T694" t="s">
        <v>69</v>
      </c>
      <c r="U694" s="11">
        <f t="shared" si="58"/>
        <v>0</v>
      </c>
      <c r="V694" t="s">
        <v>576</v>
      </c>
      <c r="Y694" t="s">
        <v>872</v>
      </c>
      <c r="Z694" t="s">
        <v>39</v>
      </c>
      <c r="AA694" s="11">
        <f t="shared" si="56"/>
        <v>0</v>
      </c>
      <c r="AB694" t="s">
        <v>576</v>
      </c>
      <c r="AE694" t="s">
        <v>872</v>
      </c>
      <c r="AF694" t="s">
        <v>39</v>
      </c>
      <c r="AG694" s="11">
        <f t="shared" si="57"/>
        <v>0</v>
      </c>
      <c r="AH694" t="s">
        <v>576</v>
      </c>
    </row>
    <row r="695" spans="13:34" x14ac:dyDescent="0.2">
      <c r="M695" t="s">
        <v>100</v>
      </c>
      <c r="N695" s="11" t="str">
        <f>IF($M695=PlasticsUse!$D$93,Conversions!$A$17,IF($M695=PlasticsUse!$L$93,Conversions!$A$18,Conversions!$A$16))</f>
        <v>Transfer Station</v>
      </c>
      <c r="O695" s="11">
        <f>SUMIFS('CompilationCalcs - Di et al.EOL'!$F$4:$F$544,'CompilationCalcs - Di et al.EOL'!$C$4:$C$544,dataforsankey!$M695,'CompilationCalcs - Di et al.EOL'!$E$4:$E$544,$N695,'CompilationCalcs - Di et al.EOL'!$A$4:$A$544,dataforsankey!$P695)</f>
        <v>0</v>
      </c>
      <c r="P695" t="s">
        <v>32</v>
      </c>
      <c r="S695" t="s">
        <v>891</v>
      </c>
      <c r="T695" t="s">
        <v>100</v>
      </c>
      <c r="U695" s="11">
        <f t="shared" si="58"/>
        <v>0</v>
      </c>
      <c r="V695" t="s">
        <v>576</v>
      </c>
      <c r="Y695" t="s">
        <v>872</v>
      </c>
      <c r="Z695" t="s">
        <v>68</v>
      </c>
      <c r="AA695" s="11">
        <f t="shared" si="56"/>
        <v>0</v>
      </c>
      <c r="AB695" t="s">
        <v>576</v>
      </c>
      <c r="AE695" t="s">
        <v>872</v>
      </c>
      <c r="AF695" t="s">
        <v>68</v>
      </c>
      <c r="AG695" s="11">
        <f t="shared" si="57"/>
        <v>0</v>
      </c>
      <c r="AH695" t="s">
        <v>576</v>
      </c>
    </row>
    <row r="696" spans="13:34" x14ac:dyDescent="0.2">
      <c r="M696" t="s">
        <v>39</v>
      </c>
      <c r="N696" s="11" t="str">
        <f>IF($M696=PlasticsUse!$D$93,Conversions!$A$17,IF($M696=PlasticsUse!$L$93,Conversions!$A$18,Conversions!$A$16))</f>
        <v>Transfer Station</v>
      </c>
      <c r="O696" s="11">
        <f>SUMIFS('CompilationCalcs - Di et al.EOL'!$F$4:$F$544,'CompilationCalcs - Di et al.EOL'!$C$4:$C$544,dataforsankey!$M696,'CompilationCalcs - Di et al.EOL'!$E$4:$E$544,$N696,'CompilationCalcs - Di et al.EOL'!$A$4:$A$544,dataforsankey!$P696)</f>
        <v>0.24026685338115103</v>
      </c>
      <c r="P696" t="s">
        <v>32</v>
      </c>
      <c r="S696" t="s">
        <v>891</v>
      </c>
      <c r="T696" t="s">
        <v>39</v>
      </c>
      <c r="U696" s="11">
        <f t="shared" si="58"/>
        <v>0</v>
      </c>
      <c r="V696" t="s">
        <v>576</v>
      </c>
      <c r="Y696" t="s">
        <v>872</v>
      </c>
      <c r="Z696" t="s">
        <v>63</v>
      </c>
      <c r="AA696" s="11">
        <f t="shared" si="56"/>
        <v>0</v>
      </c>
      <c r="AB696" t="s">
        <v>576</v>
      </c>
      <c r="AE696" t="s">
        <v>872</v>
      </c>
      <c r="AF696" t="s">
        <v>63</v>
      </c>
      <c r="AG696" s="11">
        <f t="shared" si="57"/>
        <v>0</v>
      </c>
      <c r="AH696" t="s">
        <v>576</v>
      </c>
    </row>
    <row r="697" spans="13:34" x14ac:dyDescent="0.2">
      <c r="M697" t="s">
        <v>68</v>
      </c>
      <c r="N697" s="11" t="str">
        <f>IF($M697=PlasticsUse!$D$93,Conversions!$A$17,IF($M697=PlasticsUse!$L$93,Conversions!$A$18,Conversions!$A$16))</f>
        <v>Transfer Station</v>
      </c>
      <c r="O697" s="11">
        <f>SUMIFS('CompilationCalcs - Di et al.EOL'!$F$4:$F$544,'CompilationCalcs - Di et al.EOL'!$C$4:$C$544,dataforsankey!$M697,'CompilationCalcs - Di et al.EOL'!$E$4:$E$544,$N697,'CompilationCalcs - Di et al.EOL'!$A$4:$A$544,dataforsankey!$P697)</f>
        <v>1.0673341590444818</v>
      </c>
      <c r="P697" t="s">
        <v>32</v>
      </c>
      <c r="S697" t="s">
        <v>891</v>
      </c>
      <c r="T697" t="s">
        <v>68</v>
      </c>
      <c r="U697" s="11">
        <f t="shared" si="58"/>
        <v>0</v>
      </c>
      <c r="V697" t="s">
        <v>576</v>
      </c>
      <c r="Y697" t="s">
        <v>872</v>
      </c>
      <c r="Z697" t="s">
        <v>92</v>
      </c>
      <c r="AA697" s="11">
        <f t="shared" si="56"/>
        <v>0</v>
      </c>
      <c r="AB697" t="s">
        <v>576</v>
      </c>
      <c r="AE697" t="s">
        <v>872</v>
      </c>
      <c r="AF697" t="s">
        <v>92</v>
      </c>
      <c r="AG697" s="11">
        <f t="shared" si="57"/>
        <v>0</v>
      </c>
      <c r="AH697" t="s">
        <v>576</v>
      </c>
    </row>
    <row r="698" spans="13:34" x14ac:dyDescent="0.2">
      <c r="M698" t="s">
        <v>63</v>
      </c>
      <c r="N698" s="11" t="str">
        <f>IF($M698=PlasticsUse!$D$93,Conversions!$A$17,IF($M698=PlasticsUse!$L$93,Conversions!$A$18,Conversions!$A$16))</f>
        <v>Transfer Station</v>
      </c>
      <c r="O698" s="11">
        <f>SUMIFS('CompilationCalcs - Di et al.EOL'!$F$4:$F$544,'CompilationCalcs - Di et al.EOL'!$C$4:$C$544,dataforsankey!$M698,'CompilationCalcs - Di et al.EOL'!$E$4:$E$544,$N698,'CompilationCalcs - Di et al.EOL'!$A$4:$A$544,dataforsankey!$P698)</f>
        <v>0.19533993537078584</v>
      </c>
      <c r="P698" t="s">
        <v>32</v>
      </c>
      <c r="S698" t="s">
        <v>891</v>
      </c>
      <c r="T698" t="s">
        <v>63</v>
      </c>
      <c r="U698" s="11">
        <f t="shared" si="58"/>
        <v>0</v>
      </c>
      <c r="V698" t="s">
        <v>576</v>
      </c>
      <c r="Y698" t="s">
        <v>872</v>
      </c>
      <c r="Z698" t="s">
        <v>103</v>
      </c>
      <c r="AA698" s="11">
        <f t="shared" si="56"/>
        <v>0</v>
      </c>
      <c r="AB698" t="s">
        <v>576</v>
      </c>
      <c r="AE698" t="s">
        <v>872</v>
      </c>
      <c r="AF698" t="s">
        <v>103</v>
      </c>
      <c r="AG698" s="11">
        <f t="shared" si="57"/>
        <v>0</v>
      </c>
      <c r="AH698" t="s">
        <v>576</v>
      </c>
    </row>
    <row r="699" spans="13:34" x14ac:dyDescent="0.2">
      <c r="M699" t="s">
        <v>92</v>
      </c>
      <c r="N699" s="11" t="str">
        <f>IF($M699=PlasticsUse!$D$93,Conversions!$A$17,IF($M699=PlasticsUse!$L$93,Conversions!$A$18,Conversions!$A$16))</f>
        <v>Transfer Station</v>
      </c>
      <c r="O699" s="11">
        <f>SUMIFS('CompilationCalcs - Di et al.EOL'!$F$4:$F$544,'CompilationCalcs - Di et al.EOL'!$C$4:$C$544,dataforsankey!$M699,'CompilationCalcs - Di et al.EOL'!$E$4:$E$544,$N699,'CompilationCalcs - Di et al.EOL'!$A$4:$A$544,dataforsankey!$P699)</f>
        <v>0</v>
      </c>
      <c r="P699" t="s">
        <v>32</v>
      </c>
      <c r="S699" t="s">
        <v>891</v>
      </c>
      <c r="T699" t="s">
        <v>92</v>
      </c>
      <c r="U699" s="11">
        <f t="shared" si="58"/>
        <v>0</v>
      </c>
      <c r="V699" t="s">
        <v>576</v>
      </c>
      <c r="Y699" t="s">
        <v>872</v>
      </c>
      <c r="Z699" t="s">
        <v>86</v>
      </c>
      <c r="AA699" s="11">
        <f t="shared" si="56"/>
        <v>2.2635924861555377</v>
      </c>
      <c r="AB699" t="s">
        <v>576</v>
      </c>
      <c r="AE699" t="s">
        <v>872</v>
      </c>
      <c r="AF699" t="s">
        <v>86</v>
      </c>
      <c r="AG699" s="11">
        <f t="shared" si="57"/>
        <v>2.2635924861555377</v>
      </c>
      <c r="AH699" t="s">
        <v>576</v>
      </c>
    </row>
    <row r="700" spans="13:34" x14ac:dyDescent="0.2">
      <c r="M700" t="s">
        <v>103</v>
      </c>
      <c r="N700" s="11" t="str">
        <f>IF($M700=PlasticsUse!$D$93,Conversions!$A$17,IF($M700=PlasticsUse!$L$93,Conversions!$A$18,Conversions!$A$16))</f>
        <v>Transfer Station</v>
      </c>
      <c r="O700" s="11">
        <f>SUMIFS('CompilationCalcs - Di et al.EOL'!$F$4:$F$544,'CompilationCalcs - Di et al.EOL'!$C$4:$C$544,dataforsankey!$M700,'CompilationCalcs - Di et al.EOL'!$E$4:$E$544,$N700,'CompilationCalcs - Di et al.EOL'!$A$4:$A$544,dataforsankey!$P700)</f>
        <v>0</v>
      </c>
      <c r="P700" t="s">
        <v>32</v>
      </c>
      <c r="S700" t="s">
        <v>891</v>
      </c>
      <c r="T700" t="s">
        <v>103</v>
      </c>
      <c r="U700" s="11">
        <f t="shared" si="58"/>
        <v>0</v>
      </c>
      <c r="V700" t="s">
        <v>576</v>
      </c>
      <c r="Y700" t="s">
        <v>872</v>
      </c>
      <c r="Z700" t="s">
        <v>18</v>
      </c>
      <c r="AA700" s="11">
        <f t="shared" si="56"/>
        <v>0</v>
      </c>
      <c r="AB700" t="s">
        <v>576</v>
      </c>
      <c r="AE700" t="s">
        <v>872</v>
      </c>
      <c r="AF700" t="s">
        <v>18</v>
      </c>
      <c r="AG700" s="11">
        <f t="shared" si="57"/>
        <v>0</v>
      </c>
      <c r="AH700" t="s">
        <v>576</v>
      </c>
    </row>
    <row r="701" spans="13:34" x14ac:dyDescent="0.2">
      <c r="M701" t="s">
        <v>86</v>
      </c>
      <c r="N701" s="11" t="str">
        <f>IF($M701=PlasticsUse!$D$93,Conversions!$A$17,IF($M701=PlasticsUse!$L$93,Conversions!$A$18,Conversions!$A$16))</f>
        <v>Transfer Station</v>
      </c>
      <c r="O701" s="11">
        <f>SUMIFS('CompilationCalcs - Di et al.EOL'!$F$4:$F$544,'CompilationCalcs - Di et al.EOL'!$C$4:$C$544,dataforsankey!$M701,'CompilationCalcs - Di et al.EOL'!$E$4:$E$544,$N701,'CompilationCalcs - Di et al.EOL'!$A$4:$A$544,dataforsankey!$P701)</f>
        <v>0.8450404917983797</v>
      </c>
      <c r="P701" t="s">
        <v>32</v>
      </c>
      <c r="S701" t="s">
        <v>891</v>
      </c>
      <c r="T701" t="s">
        <v>86</v>
      </c>
      <c r="U701" s="11">
        <f t="shared" si="58"/>
        <v>0</v>
      </c>
      <c r="V701" t="s">
        <v>576</v>
      </c>
      <c r="Y701" t="s">
        <v>872</v>
      </c>
      <c r="Z701" t="s">
        <v>38</v>
      </c>
      <c r="AA701" s="11">
        <f t="shared" si="56"/>
        <v>0</v>
      </c>
      <c r="AB701" t="s">
        <v>575</v>
      </c>
      <c r="AE701" t="s">
        <v>872</v>
      </c>
      <c r="AF701" t="s">
        <v>38</v>
      </c>
      <c r="AG701" s="11">
        <f t="shared" si="57"/>
        <v>0</v>
      </c>
      <c r="AH701" t="s">
        <v>575</v>
      </c>
    </row>
    <row r="702" spans="13:34" x14ac:dyDescent="0.2">
      <c r="M702" t="s">
        <v>38</v>
      </c>
      <c r="N702" s="11" t="str">
        <f>IF($M702=PlasticsUse!$D$93,Conversions!$A$17,IF($M702=PlasticsUse!$L$93,Conversions!$A$18,Conversions!$A$16))</f>
        <v>Transfer Station</v>
      </c>
      <c r="O702" s="11">
        <f>SUMIFS('CompilationCalcs - Di et al.EOL'!$F$4:$F$544,'CompilationCalcs - Di et al.EOL'!$C$4:$C$544,dataforsankey!$M702,'CompilationCalcs - Di et al.EOL'!$E$4:$E$544,$N702,'CompilationCalcs - Di et al.EOL'!$A$4:$A$544,dataforsankey!$P702)</f>
        <v>0</v>
      </c>
      <c r="P702" t="s">
        <v>105</v>
      </c>
      <c r="S702" t="s">
        <v>891</v>
      </c>
      <c r="T702" t="s">
        <v>18</v>
      </c>
      <c r="U702" s="11">
        <f t="shared" si="58"/>
        <v>0</v>
      </c>
      <c r="V702" t="s">
        <v>576</v>
      </c>
      <c r="Y702" t="s">
        <v>872</v>
      </c>
      <c r="Z702" t="s">
        <v>99</v>
      </c>
      <c r="AA702" s="11">
        <f t="shared" si="56"/>
        <v>0</v>
      </c>
      <c r="AB702" t="s">
        <v>575</v>
      </c>
      <c r="AE702" t="s">
        <v>872</v>
      </c>
      <c r="AF702" t="s">
        <v>99</v>
      </c>
      <c r="AG702" s="11">
        <f t="shared" si="57"/>
        <v>0</v>
      </c>
      <c r="AH702" t="s">
        <v>575</v>
      </c>
    </row>
    <row r="703" spans="13:34" x14ac:dyDescent="0.2">
      <c r="M703" t="s">
        <v>99</v>
      </c>
      <c r="N703" s="11" t="str">
        <f>IF($M703=PlasticsUse!$D$93,Conversions!$A$17,IF($M703=PlasticsUse!$L$93,Conversions!$A$18,Conversions!$A$16))</f>
        <v>Transfer Station</v>
      </c>
      <c r="O703" s="11">
        <f>SUMIFS('CompilationCalcs - Di et al.EOL'!$F$4:$F$544,'CompilationCalcs - Di et al.EOL'!$C$4:$C$544,dataforsankey!$M703,'CompilationCalcs - Di et al.EOL'!$E$4:$E$544,$N703,'CompilationCalcs - Di et al.EOL'!$A$4:$A$544,dataforsankey!$P703)</f>
        <v>0</v>
      </c>
      <c r="P703" t="s">
        <v>105</v>
      </c>
      <c r="S703" t="s">
        <v>891</v>
      </c>
      <c r="T703" t="s">
        <v>38</v>
      </c>
      <c r="U703" s="11">
        <f t="shared" si="58"/>
        <v>0</v>
      </c>
      <c r="V703" t="s">
        <v>575</v>
      </c>
      <c r="Y703" t="s">
        <v>872</v>
      </c>
      <c r="Z703" t="s">
        <v>69</v>
      </c>
      <c r="AA703" s="11">
        <f t="shared" si="56"/>
        <v>0</v>
      </c>
      <c r="AB703" t="s">
        <v>575</v>
      </c>
      <c r="AE703" t="s">
        <v>872</v>
      </c>
      <c r="AF703" t="s">
        <v>69</v>
      </c>
      <c r="AG703" s="11">
        <f t="shared" si="57"/>
        <v>0</v>
      </c>
      <c r="AH703" t="s">
        <v>575</v>
      </c>
    </row>
    <row r="704" spans="13:34" x14ac:dyDescent="0.2">
      <c r="M704" t="s">
        <v>69</v>
      </c>
      <c r="N704" s="11" t="str">
        <f>IF($M704=PlasticsUse!$D$93,Conversions!$A$17,IF($M704=PlasticsUse!$L$93,Conversions!$A$18,Conversions!$A$16))</f>
        <v>Automotive Shredding Facility</v>
      </c>
      <c r="O704" s="11">
        <f>SUMIFS('CompilationCalcs - Di et al.EOL'!$F$4:$F$544,'CompilationCalcs - Di et al.EOL'!$C$4:$C$544,dataforsankey!$M704,'CompilationCalcs - Di et al.EOL'!$E$4:$E$544,$N704,'CompilationCalcs - Di et al.EOL'!$A$4:$A$544,dataforsankey!$P704)</f>
        <v>0.72861536240787916</v>
      </c>
      <c r="P704" t="s">
        <v>105</v>
      </c>
      <c r="S704" t="s">
        <v>891</v>
      </c>
      <c r="T704" t="s">
        <v>99</v>
      </c>
      <c r="U704" s="11">
        <f t="shared" si="58"/>
        <v>0</v>
      </c>
      <c r="V704" t="s">
        <v>575</v>
      </c>
      <c r="Y704" t="s">
        <v>872</v>
      </c>
      <c r="Z704" t="s">
        <v>100</v>
      </c>
      <c r="AA704" s="11">
        <f t="shared" si="56"/>
        <v>0</v>
      </c>
      <c r="AB704" t="s">
        <v>575</v>
      </c>
      <c r="AE704" t="s">
        <v>872</v>
      </c>
      <c r="AF704" t="s">
        <v>100</v>
      </c>
      <c r="AG704" s="11">
        <f t="shared" si="57"/>
        <v>0</v>
      </c>
      <c r="AH704" t="s">
        <v>575</v>
      </c>
    </row>
    <row r="705" spans="13:34" x14ac:dyDescent="0.2">
      <c r="M705" t="s">
        <v>100</v>
      </c>
      <c r="N705" s="11" t="str">
        <f>IF($M705=PlasticsUse!$D$93,Conversions!$A$17,IF($M705=PlasticsUse!$L$93,Conversions!$A$18,Conversions!$A$16))</f>
        <v>Transfer Station</v>
      </c>
      <c r="O705" s="11">
        <f>SUMIFS('CompilationCalcs - Di et al.EOL'!$F$4:$F$544,'CompilationCalcs - Di et al.EOL'!$C$4:$C$544,dataforsankey!$M705,'CompilationCalcs - Di et al.EOL'!$E$4:$E$544,$N705,'CompilationCalcs - Di et al.EOL'!$A$4:$A$544,dataforsankey!$P705)</f>
        <v>0</v>
      </c>
      <c r="P705" t="s">
        <v>105</v>
      </c>
      <c r="S705" t="s">
        <v>891</v>
      </c>
      <c r="T705" t="s">
        <v>69</v>
      </c>
      <c r="U705" s="11">
        <f t="shared" si="58"/>
        <v>0</v>
      </c>
      <c r="V705" t="s">
        <v>575</v>
      </c>
      <c r="Y705" t="s">
        <v>872</v>
      </c>
      <c r="Z705" t="s">
        <v>39</v>
      </c>
      <c r="AA705" s="11">
        <f t="shared" si="56"/>
        <v>0</v>
      </c>
      <c r="AB705" t="s">
        <v>575</v>
      </c>
      <c r="AE705" t="s">
        <v>872</v>
      </c>
      <c r="AF705" t="s">
        <v>39</v>
      </c>
      <c r="AG705" s="11">
        <f t="shared" si="57"/>
        <v>0</v>
      </c>
      <c r="AH705" t="s">
        <v>575</v>
      </c>
    </row>
    <row r="706" spans="13:34" x14ac:dyDescent="0.2">
      <c r="M706" t="s">
        <v>39</v>
      </c>
      <c r="N706" s="11" t="str">
        <f>IF($M706=PlasticsUse!$D$93,Conversions!$A$17,IF($M706=PlasticsUse!$L$93,Conversions!$A$18,Conversions!$A$16))</f>
        <v>Transfer Station</v>
      </c>
      <c r="O706" s="11">
        <f>SUMIFS('CompilationCalcs - Di et al.EOL'!$F$4:$F$544,'CompilationCalcs - Di et al.EOL'!$C$4:$C$544,dataforsankey!$M706,'CompilationCalcs - Di et al.EOL'!$E$4:$E$544,$N706,'CompilationCalcs - Di et al.EOL'!$A$4:$A$544,dataforsankey!$P706)</f>
        <v>0</v>
      </c>
      <c r="P706" t="s">
        <v>105</v>
      </c>
      <c r="S706" t="s">
        <v>891</v>
      </c>
      <c r="T706" t="s">
        <v>100</v>
      </c>
      <c r="U706" s="11">
        <f t="shared" si="58"/>
        <v>0</v>
      </c>
      <c r="V706" t="s">
        <v>575</v>
      </c>
      <c r="Y706" t="s">
        <v>872</v>
      </c>
      <c r="Z706" t="s">
        <v>68</v>
      </c>
      <c r="AA706" s="11">
        <f t="shared" si="56"/>
        <v>0</v>
      </c>
      <c r="AB706" t="s">
        <v>575</v>
      </c>
      <c r="AE706" t="s">
        <v>872</v>
      </c>
      <c r="AF706" t="s">
        <v>68</v>
      </c>
      <c r="AG706" s="11">
        <f t="shared" si="57"/>
        <v>0</v>
      </c>
      <c r="AH706" t="s">
        <v>575</v>
      </c>
    </row>
    <row r="707" spans="13:34" x14ac:dyDescent="0.2">
      <c r="M707" t="s">
        <v>68</v>
      </c>
      <c r="N707" s="11" t="str">
        <f>IF($M707=PlasticsUse!$D$93,Conversions!$A$17,IF($M707=PlasticsUse!$L$93,Conversions!$A$18,Conversions!$A$16))</f>
        <v>Transfer Station</v>
      </c>
      <c r="O707" s="11">
        <f>SUMIFS('CompilationCalcs - Di et al.EOL'!$F$4:$F$544,'CompilationCalcs - Di et al.EOL'!$C$4:$C$544,dataforsankey!$M707,'CompilationCalcs - Di et al.EOL'!$E$4:$E$544,$N707,'CompilationCalcs - Di et al.EOL'!$A$4:$A$544,dataforsankey!$P707)</f>
        <v>0</v>
      </c>
      <c r="P707" t="s">
        <v>105</v>
      </c>
      <c r="S707" t="s">
        <v>891</v>
      </c>
      <c r="T707" t="s">
        <v>39</v>
      </c>
      <c r="U707" s="11">
        <f t="shared" si="58"/>
        <v>0</v>
      </c>
      <c r="V707" t="s">
        <v>575</v>
      </c>
      <c r="Y707" t="s">
        <v>872</v>
      </c>
      <c r="Z707" t="s">
        <v>63</v>
      </c>
      <c r="AA707" s="11">
        <f t="shared" si="56"/>
        <v>0</v>
      </c>
      <c r="AB707" t="s">
        <v>575</v>
      </c>
      <c r="AE707" t="s">
        <v>872</v>
      </c>
      <c r="AF707" t="s">
        <v>63</v>
      </c>
      <c r="AG707" s="11">
        <f t="shared" si="57"/>
        <v>0</v>
      </c>
      <c r="AH707" t="s">
        <v>575</v>
      </c>
    </row>
    <row r="708" spans="13:34" x14ac:dyDescent="0.2">
      <c r="M708" t="s">
        <v>63</v>
      </c>
      <c r="N708" s="11" t="str">
        <f>IF($M708=PlasticsUse!$D$93,Conversions!$A$17,IF($M708=PlasticsUse!$L$93,Conversions!$A$18,Conversions!$A$16))</f>
        <v>Transfer Station</v>
      </c>
      <c r="O708" s="11">
        <f>SUMIFS('CompilationCalcs - Di et al.EOL'!$F$4:$F$544,'CompilationCalcs - Di et al.EOL'!$C$4:$C$544,dataforsankey!$M708,'CompilationCalcs - Di et al.EOL'!$E$4:$E$544,$N708,'CompilationCalcs - Di et al.EOL'!$A$4:$A$544,dataforsankey!$P708)</f>
        <v>0</v>
      </c>
      <c r="P708" t="s">
        <v>105</v>
      </c>
      <c r="S708" t="s">
        <v>891</v>
      </c>
      <c r="T708" t="s">
        <v>68</v>
      </c>
      <c r="U708" s="11">
        <f t="shared" si="58"/>
        <v>0</v>
      </c>
      <c r="V708" t="s">
        <v>575</v>
      </c>
      <c r="Y708" t="s">
        <v>872</v>
      </c>
      <c r="Z708" t="s">
        <v>92</v>
      </c>
      <c r="AA708" s="11">
        <f t="shared" si="56"/>
        <v>0</v>
      </c>
      <c r="AB708" t="s">
        <v>575</v>
      </c>
      <c r="AE708" t="s">
        <v>872</v>
      </c>
      <c r="AF708" t="s">
        <v>92</v>
      </c>
      <c r="AG708" s="11">
        <f t="shared" si="57"/>
        <v>0</v>
      </c>
      <c r="AH708" t="s">
        <v>575</v>
      </c>
    </row>
    <row r="709" spans="13:34" x14ac:dyDescent="0.2">
      <c r="M709" t="s">
        <v>92</v>
      </c>
      <c r="N709" s="11" t="str">
        <f>IF($M709=PlasticsUse!$D$93,Conversions!$A$17,IF($M709=PlasticsUse!$L$93,Conversions!$A$18,Conversions!$A$16))</f>
        <v>Transfer Station</v>
      </c>
      <c r="O709" s="11">
        <f>SUMIFS('CompilationCalcs - Di et al.EOL'!$F$4:$F$544,'CompilationCalcs - Di et al.EOL'!$C$4:$C$544,dataforsankey!$M709,'CompilationCalcs - Di et al.EOL'!$E$4:$E$544,$N709,'CompilationCalcs - Di et al.EOL'!$A$4:$A$544,dataforsankey!$P709)</f>
        <v>5.2204894800384913E-2</v>
      </c>
      <c r="P709" t="s">
        <v>105</v>
      </c>
      <c r="S709" t="s">
        <v>891</v>
      </c>
      <c r="T709" t="s">
        <v>63</v>
      </c>
      <c r="U709" s="11">
        <f t="shared" si="58"/>
        <v>0</v>
      </c>
      <c r="V709" t="s">
        <v>575</v>
      </c>
      <c r="Y709" t="s">
        <v>872</v>
      </c>
      <c r="Z709" t="s">
        <v>103</v>
      </c>
      <c r="AA709" s="11">
        <f t="shared" si="56"/>
        <v>0</v>
      </c>
      <c r="AB709" t="s">
        <v>575</v>
      </c>
      <c r="AE709" t="s">
        <v>872</v>
      </c>
      <c r="AF709" t="s">
        <v>103</v>
      </c>
      <c r="AG709" s="11">
        <f t="shared" si="57"/>
        <v>0</v>
      </c>
      <c r="AH709" t="s">
        <v>575</v>
      </c>
    </row>
    <row r="710" spans="13:34" x14ac:dyDescent="0.2">
      <c r="M710" t="s">
        <v>103</v>
      </c>
      <c r="N710" s="11" t="str">
        <f>IF($M710=PlasticsUse!$D$93,Conversions!$A$17,IF($M710=PlasticsUse!$L$93,Conversions!$A$18,Conversions!$A$16))</f>
        <v>Transfer Station</v>
      </c>
      <c r="O710" s="11">
        <f>SUMIFS('CompilationCalcs - Di et al.EOL'!$F$4:$F$544,'CompilationCalcs - Di et al.EOL'!$C$4:$C$544,dataforsankey!$M710,'CompilationCalcs - Di et al.EOL'!$E$4:$E$544,$N710,'CompilationCalcs - Di et al.EOL'!$A$4:$A$544,dataforsankey!$P710)</f>
        <v>0.10385639041391555</v>
      </c>
      <c r="P710" t="s">
        <v>105</v>
      </c>
      <c r="S710" t="s">
        <v>891</v>
      </c>
      <c r="T710" t="s">
        <v>92</v>
      </c>
      <c r="U710" s="11">
        <f t="shared" si="58"/>
        <v>0</v>
      </c>
      <c r="V710" t="s">
        <v>575</v>
      </c>
      <c r="Y710" t="s">
        <v>872</v>
      </c>
      <c r="Z710" t="s">
        <v>86</v>
      </c>
      <c r="AA710" s="11">
        <f t="shared" si="56"/>
        <v>0.98589352833803645</v>
      </c>
      <c r="AB710" t="s">
        <v>575</v>
      </c>
      <c r="AE710" t="s">
        <v>872</v>
      </c>
      <c r="AF710" t="s">
        <v>86</v>
      </c>
      <c r="AG710" s="11">
        <f t="shared" si="57"/>
        <v>0.98589352833803645</v>
      </c>
      <c r="AH710" t="s">
        <v>575</v>
      </c>
    </row>
    <row r="711" spans="13:34" x14ac:dyDescent="0.2">
      <c r="M711" t="s">
        <v>86</v>
      </c>
      <c r="N711" s="11" t="str">
        <f>IF($M711=PlasticsUse!$D$93,Conversions!$A$17,IF($M711=PlasticsUse!$L$93,Conversions!$A$18,Conversions!$A$16))</f>
        <v>Transfer Station</v>
      </c>
      <c r="O711" s="11">
        <f>SUMIFS('CompilationCalcs - Di et al.EOL'!$F$4:$F$544,'CompilationCalcs - Di et al.EOL'!$C$4:$C$544,dataforsankey!$M711,'CompilationCalcs - Di et al.EOL'!$E$4:$E$544,$N711,'CompilationCalcs - Di et al.EOL'!$A$4:$A$544,dataforsankey!$P711)</f>
        <v>2.9831368457362002E-3</v>
      </c>
      <c r="P711" t="s">
        <v>105</v>
      </c>
      <c r="S711" t="s">
        <v>891</v>
      </c>
      <c r="T711" t="s">
        <v>103</v>
      </c>
      <c r="U711" s="11">
        <f t="shared" si="58"/>
        <v>0</v>
      </c>
      <c r="V711" t="s">
        <v>575</v>
      </c>
      <c r="Y711" t="s">
        <v>872</v>
      </c>
      <c r="Z711" t="s">
        <v>18</v>
      </c>
      <c r="AA711" s="11">
        <f t="shared" si="56"/>
        <v>0</v>
      </c>
      <c r="AB711" t="s">
        <v>575</v>
      </c>
      <c r="AE711" t="s">
        <v>872</v>
      </c>
      <c r="AF711" t="s">
        <v>18</v>
      </c>
      <c r="AG711" s="11">
        <f t="shared" si="57"/>
        <v>0</v>
      </c>
      <c r="AH711" t="s">
        <v>575</v>
      </c>
    </row>
    <row r="712" spans="13:34" x14ac:dyDescent="0.2">
      <c r="M712" t="s">
        <v>38</v>
      </c>
      <c r="N712" s="11" t="str">
        <f>IF($M712=PlasticsUse!$D$93,Conversions!$A$17,IF($M712=PlasticsUse!$L$93,Conversions!$A$18,Conversions!$A$16))</f>
        <v>Transfer Station</v>
      </c>
      <c r="O712" s="11">
        <v>0</v>
      </c>
      <c r="P712" t="s">
        <v>576</v>
      </c>
      <c r="S712" t="s">
        <v>891</v>
      </c>
      <c r="T712" t="s">
        <v>86</v>
      </c>
      <c r="U712" s="11">
        <f t="shared" si="58"/>
        <v>0</v>
      </c>
      <c r="V712" t="s">
        <v>575</v>
      </c>
      <c r="Y712" s="177" t="s">
        <v>38</v>
      </c>
      <c r="Z712" s="178" t="str">
        <f>IF($M862=PlasticsUse!$D$93,Conversions!$A$17,IF($M862=PlasticsUse!$L$93,Conversions!$A$18,Conversions!$A$16))</f>
        <v>Transfer Station</v>
      </c>
      <c r="AA712" s="178">
        <f>INDEX('In-Use Stocks'!$M$81:$V$97,MATCH(dataforsankey!$AB712,'In-Use Stocks'!$L$81:$L$97,0),MATCH(dataforsankey!$Y712,'In-Use Stocks'!$M$80:$V$80,0))</f>
        <v>0</v>
      </c>
      <c r="AB712" s="177" t="s">
        <v>576</v>
      </c>
      <c r="AE712" s="177" t="s">
        <v>38</v>
      </c>
      <c r="AF712" s="178" t="str">
        <f>IF($M862=PlasticsUse!$D$93,Conversions!$A$17,IF($M862=PlasticsUse!$L$93,Conversions!$A$18,Conversions!$A$16))</f>
        <v>Transfer Station</v>
      </c>
      <c r="AG712" s="178">
        <f>INDEX('In-Use Stocks'!$M$81:$V$97,MATCH(dataforsankey!$AB712,'In-Use Stocks'!$L$81:$L$97,0),MATCH(dataforsankey!$Y712,'In-Use Stocks'!$M$80:$V$80,0))</f>
        <v>0</v>
      </c>
      <c r="AH712" s="177" t="s">
        <v>576</v>
      </c>
    </row>
    <row r="713" spans="13:34" x14ac:dyDescent="0.2">
      <c r="M713" t="s">
        <v>99</v>
      </c>
      <c r="N713" s="11" t="str">
        <f>IF($M713=PlasticsUse!$D$93,Conversions!$A$17,IF($M713=PlasticsUse!$L$93,Conversions!$A$18,Conversions!$A$16))</f>
        <v>Transfer Station</v>
      </c>
      <c r="O713" s="11">
        <v>0</v>
      </c>
      <c r="P713" t="s">
        <v>576</v>
      </c>
      <c r="S713" t="s">
        <v>891</v>
      </c>
      <c r="T713" t="s">
        <v>18</v>
      </c>
      <c r="U713" s="11">
        <f t="shared" si="58"/>
        <v>0</v>
      </c>
      <c r="V713" t="s">
        <v>575</v>
      </c>
      <c r="Y713" s="177" t="s">
        <v>99</v>
      </c>
      <c r="Z713" s="178" t="str">
        <f>IF($M863=PlasticsUse!$D$93,Conversions!$A$17,IF($M863=PlasticsUse!$L$93,Conversions!$A$18,Conversions!$A$16))</f>
        <v>Transfer Station</v>
      </c>
      <c r="AA713" s="178">
        <f>INDEX('In-Use Stocks'!$M$81:$V$97,MATCH(dataforsankey!$AB713,'In-Use Stocks'!$L$81:$L$97,0),MATCH(dataforsankey!$Y713,'In-Use Stocks'!$M$80:$V$80,0))</f>
        <v>0</v>
      </c>
      <c r="AB713" s="177" t="s">
        <v>576</v>
      </c>
      <c r="AE713" s="177" t="s">
        <v>99</v>
      </c>
      <c r="AF713" s="178" t="str">
        <f>IF($M863=PlasticsUse!$D$93,Conversions!$A$17,IF($M863=PlasticsUse!$L$93,Conversions!$A$18,Conversions!$A$16))</f>
        <v>Transfer Station</v>
      </c>
      <c r="AG713" s="178">
        <f>INDEX('In-Use Stocks'!$M$81:$V$97,MATCH(dataforsankey!$AB713,'In-Use Stocks'!$L$81:$L$97,0),MATCH(dataforsankey!$Y713,'In-Use Stocks'!$M$80:$V$80,0))</f>
        <v>0</v>
      </c>
      <c r="AH713" s="177" t="s">
        <v>576</v>
      </c>
    </row>
    <row r="714" spans="13:34" x14ac:dyDescent="0.2">
      <c r="M714" t="s">
        <v>69</v>
      </c>
      <c r="N714" s="11" t="str">
        <f>IF($M714=PlasticsUse!$D$93,Conversions!$A$17,IF($M714=PlasticsUse!$L$93,Conversions!$A$18,Conversions!$A$16))</f>
        <v>Automotive Shredding Facility</v>
      </c>
      <c r="O714" s="11">
        <v>0</v>
      </c>
      <c r="P714" t="s">
        <v>576</v>
      </c>
      <c r="S714" t="s">
        <v>872</v>
      </c>
      <c r="T714" t="s">
        <v>38</v>
      </c>
      <c r="U714" s="11">
        <f t="shared" si="58"/>
        <v>7.7699574526352202E-3</v>
      </c>
      <c r="V714" t="s">
        <v>82</v>
      </c>
      <c r="Y714" s="177" t="s">
        <v>69</v>
      </c>
      <c r="Z714" s="178" t="str">
        <f>IF($M864=PlasticsUse!$D$93,Conversions!$A$17,IF($M864=PlasticsUse!$L$93,Conversions!$A$18,Conversions!$A$16))</f>
        <v>Transfer Station</v>
      </c>
      <c r="AA714" s="178">
        <f>INDEX('In-Use Stocks'!$M$81:$V$97,MATCH(dataforsankey!$AB714,'In-Use Stocks'!$L$81:$L$97,0),MATCH(dataforsankey!$Y714,'In-Use Stocks'!$M$80:$V$80,0))</f>
        <v>0</v>
      </c>
      <c r="AB714" s="177" t="s">
        <v>576</v>
      </c>
      <c r="AE714" s="177" t="s">
        <v>69</v>
      </c>
      <c r="AF714" s="178" t="str">
        <f>IF($M864=PlasticsUse!$D$93,Conversions!$A$17,IF($M864=PlasticsUse!$L$93,Conversions!$A$18,Conversions!$A$16))</f>
        <v>Transfer Station</v>
      </c>
      <c r="AG714" s="178">
        <f>INDEX('In-Use Stocks'!$M$81:$V$97,MATCH(dataforsankey!$AB714,'In-Use Stocks'!$L$81:$L$97,0),MATCH(dataforsankey!$Y714,'In-Use Stocks'!$M$80:$V$80,0))</f>
        <v>0</v>
      </c>
      <c r="AH714" s="177" t="s">
        <v>576</v>
      </c>
    </row>
    <row r="715" spans="13:34" x14ac:dyDescent="0.2">
      <c r="M715" t="s">
        <v>100</v>
      </c>
      <c r="N715" s="11" t="str">
        <f>IF($M715=PlasticsUse!$D$93,Conversions!$A$17,IF($M715=PlasticsUse!$L$93,Conversions!$A$18,Conversions!$A$16))</f>
        <v>Transfer Station</v>
      </c>
      <c r="O715" s="11">
        <v>0</v>
      </c>
      <c r="P715" t="s">
        <v>576</v>
      </c>
      <c r="S715" t="s">
        <v>872</v>
      </c>
      <c r="T715" t="s">
        <v>99</v>
      </c>
      <c r="U715" s="11">
        <f t="shared" si="58"/>
        <v>7.7699574526352202E-3</v>
      </c>
      <c r="V715" t="s">
        <v>82</v>
      </c>
      <c r="Y715" s="177" t="s">
        <v>100</v>
      </c>
      <c r="Z715" s="178" t="str">
        <f>IF($M865=PlasticsUse!$D$93,Conversions!$A$17,IF($M865=PlasticsUse!$L$93,Conversions!$A$18,Conversions!$A$16))</f>
        <v>Transfer Station</v>
      </c>
      <c r="AA715" s="178">
        <f>INDEX('In-Use Stocks'!$M$81:$V$97,MATCH(dataforsankey!$AB715,'In-Use Stocks'!$L$81:$L$97,0),MATCH(dataforsankey!$Y715,'In-Use Stocks'!$M$80:$V$80,0))</f>
        <v>0</v>
      </c>
      <c r="AB715" s="177" t="s">
        <v>576</v>
      </c>
      <c r="AE715" s="177" t="s">
        <v>100</v>
      </c>
      <c r="AF715" s="178" t="str">
        <f>IF($M865=PlasticsUse!$D$93,Conversions!$A$17,IF($M865=PlasticsUse!$L$93,Conversions!$A$18,Conversions!$A$16))</f>
        <v>Transfer Station</v>
      </c>
      <c r="AG715" s="178">
        <f>INDEX('In-Use Stocks'!$M$81:$V$97,MATCH(dataforsankey!$AB715,'In-Use Stocks'!$L$81:$L$97,0),MATCH(dataforsankey!$Y715,'In-Use Stocks'!$M$80:$V$80,0))</f>
        <v>0</v>
      </c>
      <c r="AH715" s="177" t="s">
        <v>576</v>
      </c>
    </row>
    <row r="716" spans="13:34" x14ac:dyDescent="0.2">
      <c r="M716" t="s">
        <v>39</v>
      </c>
      <c r="N716" s="11" t="str">
        <f>IF($M716=PlasticsUse!$D$93,Conversions!$A$17,IF($M716=PlasticsUse!$L$93,Conversions!$A$18,Conversions!$A$16))</f>
        <v>Transfer Station</v>
      </c>
      <c r="O716" s="11">
        <v>0</v>
      </c>
      <c r="P716" t="s">
        <v>576</v>
      </c>
      <c r="S716" t="s">
        <v>872</v>
      </c>
      <c r="T716" t="s">
        <v>69</v>
      </c>
      <c r="U716" s="11">
        <f t="shared" si="58"/>
        <v>7.7699574526352202E-3</v>
      </c>
      <c r="V716" t="s">
        <v>82</v>
      </c>
      <c r="Y716" s="177" t="s">
        <v>39</v>
      </c>
      <c r="Z716" s="178" t="str">
        <f>IF($M866=PlasticsUse!$D$93,Conversions!$A$17,IF($M866=PlasticsUse!$L$93,Conversions!$A$18,Conversions!$A$16))</f>
        <v>Transfer Station</v>
      </c>
      <c r="AA716" s="178">
        <f>INDEX('In-Use Stocks'!$M$81:$V$97,MATCH(dataforsankey!$AB716,'In-Use Stocks'!$L$81:$L$97,0),MATCH(dataforsankey!$Y716,'In-Use Stocks'!$M$80:$V$80,0))</f>
        <v>0</v>
      </c>
      <c r="AB716" s="177" t="s">
        <v>576</v>
      </c>
      <c r="AE716" s="177" t="s">
        <v>39</v>
      </c>
      <c r="AF716" s="178" t="str">
        <f>IF($M866=PlasticsUse!$D$93,Conversions!$A$17,IF($M866=PlasticsUse!$L$93,Conversions!$A$18,Conversions!$A$16))</f>
        <v>Transfer Station</v>
      </c>
      <c r="AG716" s="178">
        <f>INDEX('In-Use Stocks'!$M$81:$V$97,MATCH(dataforsankey!$AB716,'In-Use Stocks'!$L$81:$L$97,0),MATCH(dataforsankey!$Y716,'In-Use Stocks'!$M$80:$V$80,0))</f>
        <v>0</v>
      </c>
      <c r="AH716" s="177" t="s">
        <v>576</v>
      </c>
    </row>
    <row r="717" spans="13:34" x14ac:dyDescent="0.2">
      <c r="M717" t="s">
        <v>68</v>
      </c>
      <c r="N717" s="11" t="str">
        <f>IF($M717=PlasticsUse!$D$93,Conversions!$A$17,IF($M717=PlasticsUse!$L$93,Conversions!$A$18,Conversions!$A$16))</f>
        <v>Transfer Station</v>
      </c>
      <c r="O717" s="11">
        <v>0</v>
      </c>
      <c r="P717" t="s">
        <v>576</v>
      </c>
      <c r="S717" t="s">
        <v>872</v>
      </c>
      <c r="T717" t="s">
        <v>100</v>
      </c>
      <c r="U717" s="11">
        <f t="shared" si="58"/>
        <v>7.7699574526352202E-3</v>
      </c>
      <c r="V717" t="s">
        <v>82</v>
      </c>
      <c r="Y717" s="177" t="s">
        <v>68</v>
      </c>
      <c r="Z717" s="178" t="str">
        <f>IF($M867=PlasticsUse!$D$93,Conversions!$A$17,IF($M867=PlasticsUse!$L$93,Conversions!$A$18,Conversions!$A$16))</f>
        <v>Transfer Station</v>
      </c>
      <c r="AA717" s="178">
        <f>INDEX('In-Use Stocks'!$M$81:$V$97,MATCH(dataforsankey!$AB717,'In-Use Stocks'!$L$81:$L$97,0),MATCH(dataforsankey!$Y717,'In-Use Stocks'!$M$80:$V$80,0))</f>
        <v>0</v>
      </c>
      <c r="AB717" s="177" t="s">
        <v>576</v>
      </c>
      <c r="AE717" s="177" t="s">
        <v>68</v>
      </c>
      <c r="AF717" s="178" t="str">
        <f>IF($M867=PlasticsUse!$D$93,Conversions!$A$17,IF($M867=PlasticsUse!$L$93,Conversions!$A$18,Conversions!$A$16))</f>
        <v>Transfer Station</v>
      </c>
      <c r="AG717" s="178">
        <f>INDEX('In-Use Stocks'!$M$81:$V$97,MATCH(dataforsankey!$AB717,'In-Use Stocks'!$L$81:$L$97,0),MATCH(dataforsankey!$Y717,'In-Use Stocks'!$M$80:$V$80,0))</f>
        <v>0</v>
      </c>
      <c r="AH717" s="177" t="s">
        <v>576</v>
      </c>
    </row>
    <row r="718" spans="13:34" x14ac:dyDescent="0.2">
      <c r="M718" t="s">
        <v>63</v>
      </c>
      <c r="N718" s="11" t="str">
        <f>IF($M718=PlasticsUse!$D$93,Conversions!$A$17,IF($M718=PlasticsUse!$L$93,Conversions!$A$18,Conversions!$A$16))</f>
        <v>Transfer Station</v>
      </c>
      <c r="O718" s="11">
        <v>0</v>
      </c>
      <c r="P718" t="s">
        <v>576</v>
      </c>
      <c r="S718" t="s">
        <v>872</v>
      </c>
      <c r="T718" t="s">
        <v>39</v>
      </c>
      <c r="U718" s="11">
        <f t="shared" si="58"/>
        <v>7.7699574526352202E-3</v>
      </c>
      <c r="V718" t="s">
        <v>82</v>
      </c>
      <c r="Y718" s="177" t="s">
        <v>63</v>
      </c>
      <c r="Z718" s="178" t="str">
        <f>IF($M868=PlasticsUse!$D$93,Conversions!$A$17,IF($M868=PlasticsUse!$L$93,Conversions!$A$18,Conversions!$A$16))</f>
        <v>Transfer Station</v>
      </c>
      <c r="AA718" s="178">
        <f>INDEX('In-Use Stocks'!$M$81:$V$97,MATCH(dataforsankey!$AB718,'In-Use Stocks'!$L$81:$L$97,0),MATCH(dataforsankey!$Y718,'In-Use Stocks'!$M$80:$V$80,0))</f>
        <v>0</v>
      </c>
      <c r="AB718" s="177" t="s">
        <v>576</v>
      </c>
      <c r="AE718" s="177" t="s">
        <v>63</v>
      </c>
      <c r="AF718" s="178" t="str">
        <f>IF($M868=PlasticsUse!$D$93,Conversions!$A$17,IF($M868=PlasticsUse!$L$93,Conversions!$A$18,Conversions!$A$16))</f>
        <v>Transfer Station</v>
      </c>
      <c r="AG718" s="178">
        <f>INDEX('In-Use Stocks'!$M$81:$V$97,MATCH(dataforsankey!$AB718,'In-Use Stocks'!$L$81:$L$97,0),MATCH(dataforsankey!$Y718,'In-Use Stocks'!$M$80:$V$80,0))</f>
        <v>0</v>
      </c>
      <c r="AH718" s="177" t="s">
        <v>576</v>
      </c>
    </row>
    <row r="719" spans="13:34" x14ac:dyDescent="0.2">
      <c r="M719" t="s">
        <v>92</v>
      </c>
      <c r="N719" s="11" t="str">
        <f>IF($M719=PlasticsUse!$D$93,Conversions!$A$17,IF($M719=PlasticsUse!$L$93,Conversions!$A$18,Conversions!$A$16))</f>
        <v>Transfer Station</v>
      </c>
      <c r="O719" s="11">
        <v>0</v>
      </c>
      <c r="P719" t="s">
        <v>576</v>
      </c>
      <c r="S719" t="s">
        <v>872</v>
      </c>
      <c r="T719" t="s">
        <v>68</v>
      </c>
      <c r="U719" s="11">
        <f t="shared" si="58"/>
        <v>7.7699574526352202E-3</v>
      </c>
      <c r="V719" t="s">
        <v>82</v>
      </c>
      <c r="Y719" s="177" t="s">
        <v>92</v>
      </c>
      <c r="Z719" s="178" t="str">
        <f>IF($M869=PlasticsUse!$D$93,Conversions!$A$17,IF($M869=PlasticsUse!$L$93,Conversions!$A$18,Conversions!$A$16))</f>
        <v>Transfer Station</v>
      </c>
      <c r="AA719" s="178">
        <f>INDEX('In-Use Stocks'!$M$81:$V$97,MATCH(dataforsankey!$AB719,'In-Use Stocks'!$L$81:$L$97,0),MATCH(dataforsankey!$Y719,'In-Use Stocks'!$M$80:$V$80,0))</f>
        <v>0</v>
      </c>
      <c r="AB719" s="177" t="s">
        <v>576</v>
      </c>
      <c r="AE719" s="177" t="s">
        <v>92</v>
      </c>
      <c r="AF719" s="178" t="str">
        <f>IF($M869=PlasticsUse!$D$93,Conversions!$A$17,IF($M869=PlasticsUse!$L$93,Conversions!$A$18,Conversions!$A$16))</f>
        <v>Transfer Station</v>
      </c>
      <c r="AG719" s="178">
        <f>INDEX('In-Use Stocks'!$M$81:$V$97,MATCH(dataforsankey!$AB719,'In-Use Stocks'!$L$81:$L$97,0),MATCH(dataforsankey!$Y719,'In-Use Stocks'!$M$80:$V$80,0))</f>
        <v>0</v>
      </c>
      <c r="AH719" s="177" t="s">
        <v>576</v>
      </c>
    </row>
    <row r="720" spans="13:34" x14ac:dyDescent="0.2">
      <c r="M720" t="s">
        <v>103</v>
      </c>
      <c r="N720" s="11" t="str">
        <f>IF($M720=PlasticsUse!$D$93,Conversions!$A$17,IF($M720=PlasticsUse!$L$93,Conversions!$A$18,Conversions!$A$16))</f>
        <v>Transfer Station</v>
      </c>
      <c r="O720" s="11">
        <v>0</v>
      </c>
      <c r="P720" t="s">
        <v>576</v>
      </c>
      <c r="S720" t="s">
        <v>872</v>
      </c>
      <c r="T720" t="s">
        <v>63</v>
      </c>
      <c r="U720" s="11">
        <f t="shared" si="58"/>
        <v>7.7699574526352202E-3</v>
      </c>
      <c r="V720" t="s">
        <v>82</v>
      </c>
      <c r="Y720" s="177" t="s">
        <v>103</v>
      </c>
      <c r="Z720" s="178" t="str">
        <f>IF($M870=PlasticsUse!$D$93,Conversions!$A$17,IF($M870=PlasticsUse!$L$93,Conversions!$A$18,Conversions!$A$16))</f>
        <v>Transfer Station</v>
      </c>
      <c r="AA720" s="178">
        <f>INDEX('In-Use Stocks'!$M$81:$V$97,MATCH(dataforsankey!$AB720,'In-Use Stocks'!$L$81:$L$97,0),MATCH(dataforsankey!$Y720,'In-Use Stocks'!$M$80:$V$80,0))</f>
        <v>0</v>
      </c>
      <c r="AB720" s="177" t="s">
        <v>576</v>
      </c>
      <c r="AE720" s="177" t="s">
        <v>103</v>
      </c>
      <c r="AF720" s="178" t="str">
        <f>IF($M870=PlasticsUse!$D$93,Conversions!$A$17,IF($M870=PlasticsUse!$L$93,Conversions!$A$18,Conversions!$A$16))</f>
        <v>Transfer Station</v>
      </c>
      <c r="AG720" s="178">
        <f>INDEX('In-Use Stocks'!$M$81:$V$97,MATCH(dataforsankey!$AB720,'In-Use Stocks'!$L$81:$L$97,0),MATCH(dataforsankey!$Y720,'In-Use Stocks'!$M$80:$V$80,0))</f>
        <v>0</v>
      </c>
      <c r="AH720" s="177" t="s">
        <v>576</v>
      </c>
    </row>
    <row r="721" spans="13:34" x14ac:dyDescent="0.2">
      <c r="M721" t="s">
        <v>86</v>
      </c>
      <c r="N721" s="11" t="str">
        <f>IF($M721=PlasticsUse!$D$93,Conversions!$A$17,IF($M721=PlasticsUse!$L$93,Conversions!$A$18,Conversions!$A$16))</f>
        <v>Transfer Station</v>
      </c>
      <c r="O721" s="11">
        <f>EndOfLife!J79</f>
        <v>1.8968011563510843</v>
      </c>
      <c r="P721" t="s">
        <v>576</v>
      </c>
      <c r="S721" t="s">
        <v>872</v>
      </c>
      <c r="T721" t="s">
        <v>92</v>
      </c>
      <c r="U721" s="11">
        <f t="shared" si="58"/>
        <v>7.7699574526352202E-3</v>
      </c>
      <c r="V721" t="s">
        <v>82</v>
      </c>
      <c r="Y721" s="177" t="s">
        <v>86</v>
      </c>
      <c r="Z721" s="178" t="str">
        <f>IF($M871=PlasticsUse!$D$93,Conversions!$A$17,IF($M871=PlasticsUse!$L$93,Conversions!$A$18,Conversions!$A$16))</f>
        <v>Transfer Station</v>
      </c>
      <c r="AA721" s="178">
        <f>INDEX('In-Use Stocks'!$M$81:$V$97,MATCH(dataforsankey!$AB721,'In-Use Stocks'!$L$81:$L$97,0),MATCH(dataforsankey!$Y721,'In-Use Stocks'!$M$80:$V$80,0))</f>
        <v>1.8968011563510843</v>
      </c>
      <c r="AB721" s="177" t="s">
        <v>576</v>
      </c>
      <c r="AE721" s="177" t="s">
        <v>86</v>
      </c>
      <c r="AF721" s="178" t="str">
        <f>IF($M871=PlasticsUse!$D$93,Conversions!$A$17,IF($M871=PlasticsUse!$L$93,Conversions!$A$18,Conversions!$A$16))</f>
        <v>Transfer Station</v>
      </c>
      <c r="AG721" s="178">
        <f>INDEX('In-Use Stocks'!$M$81:$V$97,MATCH(dataforsankey!$AB721,'In-Use Stocks'!$L$81:$L$97,0),MATCH(dataforsankey!$Y721,'In-Use Stocks'!$M$80:$V$80,0))</f>
        <v>1.8968011563510843</v>
      </c>
      <c r="AH721" s="177" t="s">
        <v>576</v>
      </c>
    </row>
    <row r="722" spans="13:34" x14ac:dyDescent="0.2">
      <c r="M722" t="s">
        <v>38</v>
      </c>
      <c r="N722" s="11" t="str">
        <f>IF($M722=PlasticsUse!$D$93,Conversions!$A$17,IF($M722=PlasticsUse!$L$93,Conversions!$A$18,Conversions!$A$16))</f>
        <v>Transfer Station</v>
      </c>
      <c r="O722" s="11">
        <v>0</v>
      </c>
      <c r="P722" t="s">
        <v>575</v>
      </c>
      <c r="S722" t="s">
        <v>872</v>
      </c>
      <c r="T722" t="s">
        <v>103</v>
      </c>
      <c r="U722" s="11">
        <f t="shared" si="58"/>
        <v>7.7699574526352202E-3</v>
      </c>
      <c r="V722" t="s">
        <v>82</v>
      </c>
      <c r="Y722" s="177" t="s">
        <v>38</v>
      </c>
      <c r="Z722" s="178" t="str">
        <f>IF($M872=PlasticsUse!$D$93,Conversions!$A$17,IF($M872=PlasticsUse!$L$93,Conversions!$A$18,Conversions!$A$16))</f>
        <v>Transfer Station</v>
      </c>
      <c r="AA722" s="178">
        <f>INDEX('In-Use Stocks'!$M$81:$V$97,MATCH(dataforsankey!$AB722,'In-Use Stocks'!$L$81:$L$97,0),MATCH(dataforsankey!$Y722,'In-Use Stocks'!$M$80:$V$80,0))</f>
        <v>0</v>
      </c>
      <c r="AB722" s="177" t="s">
        <v>575</v>
      </c>
      <c r="AE722" s="177" t="s">
        <v>38</v>
      </c>
      <c r="AF722" s="178" t="str">
        <f>IF($M872=PlasticsUse!$D$93,Conversions!$A$17,IF($M872=PlasticsUse!$L$93,Conversions!$A$18,Conversions!$A$16))</f>
        <v>Transfer Station</v>
      </c>
      <c r="AG722" s="178">
        <f>INDEX('In-Use Stocks'!$M$81:$V$97,MATCH(dataforsankey!$AB722,'In-Use Stocks'!$L$81:$L$97,0),MATCH(dataforsankey!$Y722,'In-Use Stocks'!$M$80:$V$80,0))</f>
        <v>0</v>
      </c>
      <c r="AH722" s="177" t="s">
        <v>575</v>
      </c>
    </row>
    <row r="723" spans="13:34" x14ac:dyDescent="0.2">
      <c r="M723" t="s">
        <v>99</v>
      </c>
      <c r="N723" s="11" t="str">
        <f>IF($M723=PlasticsUse!$D$93,Conversions!$A$17,IF($M723=PlasticsUse!$L$93,Conversions!$A$18,Conversions!$A$16))</f>
        <v>Transfer Station</v>
      </c>
      <c r="O723" s="11">
        <v>0</v>
      </c>
      <c r="P723" t="s">
        <v>575</v>
      </c>
      <c r="S723" t="s">
        <v>872</v>
      </c>
      <c r="T723" t="s">
        <v>86</v>
      </c>
      <c r="U723" s="11">
        <f t="shared" si="58"/>
        <v>7.7699574526352202E-3</v>
      </c>
      <c r="V723" t="s">
        <v>82</v>
      </c>
      <c r="Y723" s="177" t="s">
        <v>99</v>
      </c>
      <c r="Z723" s="178" t="str">
        <f>IF($M873=PlasticsUse!$D$93,Conversions!$A$17,IF($M873=PlasticsUse!$L$93,Conversions!$A$18,Conversions!$A$16))</f>
        <v>Transfer Station</v>
      </c>
      <c r="AA723" s="178">
        <f>INDEX('In-Use Stocks'!$M$81:$V$97,MATCH(dataforsankey!$AB723,'In-Use Stocks'!$L$81:$L$97,0),MATCH(dataforsankey!$Y723,'In-Use Stocks'!$M$80:$V$80,0))</f>
        <v>0</v>
      </c>
      <c r="AB723" s="177" t="s">
        <v>575</v>
      </c>
      <c r="AE723" s="177" t="s">
        <v>99</v>
      </c>
      <c r="AF723" s="178" t="str">
        <f>IF($M873=PlasticsUse!$D$93,Conversions!$A$17,IF($M873=PlasticsUse!$L$93,Conversions!$A$18,Conversions!$A$16))</f>
        <v>Transfer Station</v>
      </c>
      <c r="AG723" s="178">
        <f>INDEX('In-Use Stocks'!$M$81:$V$97,MATCH(dataforsankey!$AB723,'In-Use Stocks'!$L$81:$L$97,0),MATCH(dataforsankey!$Y723,'In-Use Stocks'!$M$80:$V$80,0))</f>
        <v>0</v>
      </c>
      <c r="AH723" s="177" t="s">
        <v>575</v>
      </c>
    </row>
    <row r="724" spans="13:34" x14ac:dyDescent="0.2">
      <c r="M724" t="s">
        <v>69</v>
      </c>
      <c r="N724" s="11" t="str">
        <f>IF($M724=PlasticsUse!$D$93,Conversions!$A$17,IF($M724=PlasticsUse!$L$93,Conversions!$A$18,Conversions!$A$16))</f>
        <v>Automotive Shredding Facility</v>
      </c>
      <c r="O724" s="11">
        <v>0</v>
      </c>
      <c r="P724" t="s">
        <v>575</v>
      </c>
      <c r="S724" t="s">
        <v>872</v>
      </c>
      <c r="T724" t="s">
        <v>18</v>
      </c>
      <c r="U724" s="11">
        <f t="shared" si="58"/>
        <v>7.7699574526352202E-3</v>
      </c>
      <c r="V724" t="s">
        <v>82</v>
      </c>
      <c r="Y724" s="177" t="s">
        <v>69</v>
      </c>
      <c r="Z724" s="178" t="str">
        <f>IF($M874=PlasticsUse!$D$93,Conversions!$A$17,IF($M874=PlasticsUse!$L$93,Conversions!$A$18,Conversions!$A$16))</f>
        <v>Transfer Station</v>
      </c>
      <c r="AA724" s="178">
        <f>INDEX('In-Use Stocks'!$M$81:$V$97,MATCH(dataforsankey!$AB724,'In-Use Stocks'!$L$81:$L$97,0),MATCH(dataforsankey!$Y724,'In-Use Stocks'!$M$80:$V$80,0))</f>
        <v>0</v>
      </c>
      <c r="AB724" s="177" t="s">
        <v>575</v>
      </c>
      <c r="AE724" s="177" t="s">
        <v>69</v>
      </c>
      <c r="AF724" s="178" t="str">
        <f>IF($M874=PlasticsUse!$D$93,Conversions!$A$17,IF($M874=PlasticsUse!$L$93,Conversions!$A$18,Conversions!$A$16))</f>
        <v>Transfer Station</v>
      </c>
      <c r="AG724" s="178">
        <f>INDEX('In-Use Stocks'!$M$81:$V$97,MATCH(dataforsankey!$AB724,'In-Use Stocks'!$L$81:$L$97,0),MATCH(dataforsankey!$Y724,'In-Use Stocks'!$M$80:$V$80,0))</f>
        <v>0</v>
      </c>
      <c r="AH724" s="177" t="s">
        <v>575</v>
      </c>
    </row>
    <row r="725" spans="13:34" x14ac:dyDescent="0.2">
      <c r="M725" t="s">
        <v>100</v>
      </c>
      <c r="N725" s="11" t="str">
        <f>IF($M725=PlasticsUse!$D$93,Conversions!$A$17,IF($M725=PlasticsUse!$L$93,Conversions!$A$18,Conversions!$A$16))</f>
        <v>Transfer Station</v>
      </c>
      <c r="O725" s="11">
        <v>0</v>
      </c>
      <c r="P725" t="s">
        <v>575</v>
      </c>
      <c r="S725" t="s">
        <v>872</v>
      </c>
      <c r="T725" t="s">
        <v>38</v>
      </c>
      <c r="U725" s="11">
        <f t="shared" si="58"/>
        <v>0</v>
      </c>
      <c r="V725" t="s">
        <v>127</v>
      </c>
      <c r="Y725" s="177" t="s">
        <v>100</v>
      </c>
      <c r="Z725" s="178" t="str">
        <f>IF($M875=PlasticsUse!$D$93,Conversions!$A$17,IF($M875=PlasticsUse!$L$93,Conversions!$A$18,Conversions!$A$16))</f>
        <v>Transfer Station</v>
      </c>
      <c r="AA725" s="178">
        <f>INDEX('In-Use Stocks'!$M$81:$V$97,MATCH(dataforsankey!$AB725,'In-Use Stocks'!$L$81:$L$97,0),MATCH(dataforsankey!$Y725,'In-Use Stocks'!$M$80:$V$80,0))</f>
        <v>0</v>
      </c>
      <c r="AB725" s="177" t="s">
        <v>575</v>
      </c>
      <c r="AE725" s="177" t="s">
        <v>100</v>
      </c>
      <c r="AF725" s="178" t="str">
        <f>IF($M875=PlasticsUse!$D$93,Conversions!$A$17,IF($M875=PlasticsUse!$L$93,Conversions!$A$18,Conversions!$A$16))</f>
        <v>Transfer Station</v>
      </c>
      <c r="AG725" s="178">
        <f>INDEX('In-Use Stocks'!$M$81:$V$97,MATCH(dataforsankey!$AB725,'In-Use Stocks'!$L$81:$L$97,0),MATCH(dataforsankey!$Y725,'In-Use Stocks'!$M$80:$V$80,0))</f>
        <v>0</v>
      </c>
      <c r="AH725" s="177" t="s">
        <v>575</v>
      </c>
    </row>
    <row r="726" spans="13:34" x14ac:dyDescent="0.2">
      <c r="M726" t="s">
        <v>39</v>
      </c>
      <c r="N726" s="11" t="str">
        <f>IF($M726=PlasticsUse!$D$93,Conversions!$A$17,IF($M726=PlasticsUse!$L$93,Conversions!$A$18,Conversions!$A$16))</f>
        <v>Transfer Station</v>
      </c>
      <c r="O726" s="11">
        <v>0</v>
      </c>
      <c r="P726" t="s">
        <v>575</v>
      </c>
      <c r="S726" t="s">
        <v>872</v>
      </c>
      <c r="T726" t="s">
        <v>99</v>
      </c>
      <c r="U726" s="11">
        <f t="shared" si="58"/>
        <v>0</v>
      </c>
      <c r="V726" t="s">
        <v>127</v>
      </c>
      <c r="Y726" s="177" t="s">
        <v>39</v>
      </c>
      <c r="Z726" s="178" t="str">
        <f>IF($M876=PlasticsUse!$D$93,Conversions!$A$17,IF($M876=PlasticsUse!$L$93,Conversions!$A$18,Conversions!$A$16))</f>
        <v>Transfer Station</v>
      </c>
      <c r="AA726" s="178">
        <f>INDEX('In-Use Stocks'!$M$81:$V$97,MATCH(dataforsankey!$AB726,'In-Use Stocks'!$L$81:$L$97,0),MATCH(dataforsankey!$Y726,'In-Use Stocks'!$M$80:$V$80,0))</f>
        <v>0</v>
      </c>
      <c r="AB726" s="177" t="s">
        <v>575</v>
      </c>
      <c r="AE726" s="177" t="s">
        <v>39</v>
      </c>
      <c r="AF726" s="178" t="str">
        <f>IF($M876=PlasticsUse!$D$93,Conversions!$A$17,IF($M876=PlasticsUse!$L$93,Conversions!$A$18,Conversions!$A$16))</f>
        <v>Transfer Station</v>
      </c>
      <c r="AG726" s="178">
        <f>INDEX('In-Use Stocks'!$M$81:$V$97,MATCH(dataforsankey!$AB726,'In-Use Stocks'!$L$81:$L$97,0),MATCH(dataforsankey!$Y726,'In-Use Stocks'!$M$80:$V$80,0))</f>
        <v>0</v>
      </c>
      <c r="AH726" s="177" t="s">
        <v>575</v>
      </c>
    </row>
    <row r="727" spans="13:34" x14ac:dyDescent="0.2">
      <c r="M727" t="s">
        <v>68</v>
      </c>
      <c r="N727" s="11" t="str">
        <f>IF($M727=PlasticsUse!$D$93,Conversions!$A$17,IF($M727=PlasticsUse!$L$93,Conversions!$A$18,Conversions!$A$16))</f>
        <v>Transfer Station</v>
      </c>
      <c r="O727" s="11">
        <v>0</v>
      </c>
      <c r="P727" t="s">
        <v>575</v>
      </c>
      <c r="S727" t="s">
        <v>872</v>
      </c>
      <c r="T727" t="s">
        <v>69</v>
      </c>
      <c r="U727" s="11">
        <f t="shared" ref="U727:U790" si="59">SUMIFS($O$23:$O$935,$M$23:$M$935,S727,$N$23:$N$935,T727,$P$23:$P$935,V727)</f>
        <v>0</v>
      </c>
      <c r="V727" t="s">
        <v>127</v>
      </c>
      <c r="Y727" s="177" t="s">
        <v>68</v>
      </c>
      <c r="Z727" s="178" t="str">
        <f>IF($M877=PlasticsUse!$D$93,Conversions!$A$17,IF($M877=PlasticsUse!$L$93,Conversions!$A$18,Conversions!$A$16))</f>
        <v>Transfer Station</v>
      </c>
      <c r="AA727" s="178">
        <f>INDEX('In-Use Stocks'!$M$81:$V$97,MATCH(dataforsankey!$AB727,'In-Use Stocks'!$L$81:$L$97,0),MATCH(dataforsankey!$Y727,'In-Use Stocks'!$M$80:$V$80,0))</f>
        <v>0</v>
      </c>
      <c r="AB727" s="177" t="s">
        <v>575</v>
      </c>
      <c r="AE727" s="177" t="s">
        <v>68</v>
      </c>
      <c r="AF727" s="178" t="str">
        <f>IF($M877=PlasticsUse!$D$93,Conversions!$A$17,IF($M877=PlasticsUse!$L$93,Conversions!$A$18,Conversions!$A$16))</f>
        <v>Transfer Station</v>
      </c>
      <c r="AG727" s="178">
        <f>INDEX('In-Use Stocks'!$M$81:$V$97,MATCH(dataforsankey!$AB727,'In-Use Stocks'!$L$81:$L$97,0),MATCH(dataforsankey!$Y727,'In-Use Stocks'!$M$80:$V$80,0))</f>
        <v>0</v>
      </c>
      <c r="AH727" s="177" t="s">
        <v>575</v>
      </c>
    </row>
    <row r="728" spans="13:34" x14ac:dyDescent="0.2">
      <c r="M728" t="s">
        <v>63</v>
      </c>
      <c r="N728" s="11" t="str">
        <f>IF($M728=PlasticsUse!$D$93,Conversions!$A$17,IF($M728=PlasticsUse!$L$93,Conversions!$A$18,Conversions!$A$16))</f>
        <v>Transfer Station</v>
      </c>
      <c r="O728" s="11">
        <v>0</v>
      </c>
      <c r="P728" t="s">
        <v>575</v>
      </c>
      <c r="S728" t="s">
        <v>872</v>
      </c>
      <c r="T728" t="s">
        <v>100</v>
      </c>
      <c r="U728" s="11">
        <f t="shared" si="59"/>
        <v>0</v>
      </c>
      <c r="V728" t="s">
        <v>127</v>
      </c>
      <c r="Y728" s="177" t="s">
        <v>63</v>
      </c>
      <c r="Z728" s="178" t="str">
        <f>IF($M878=PlasticsUse!$D$93,Conversions!$A$17,IF($M878=PlasticsUse!$L$93,Conversions!$A$18,Conversions!$A$16))</f>
        <v>Transfer Station</v>
      </c>
      <c r="AA728" s="178">
        <f>INDEX('In-Use Stocks'!$M$81:$V$97,MATCH(dataforsankey!$AB728,'In-Use Stocks'!$L$81:$L$97,0),MATCH(dataforsankey!$Y728,'In-Use Stocks'!$M$80:$V$80,0))</f>
        <v>0</v>
      </c>
      <c r="AB728" s="177" t="s">
        <v>575</v>
      </c>
      <c r="AE728" s="177" t="s">
        <v>63</v>
      </c>
      <c r="AF728" s="178" t="str">
        <f>IF($M878=PlasticsUse!$D$93,Conversions!$A$17,IF($M878=PlasticsUse!$L$93,Conversions!$A$18,Conversions!$A$16))</f>
        <v>Transfer Station</v>
      </c>
      <c r="AG728" s="178">
        <f>INDEX('In-Use Stocks'!$M$81:$V$97,MATCH(dataforsankey!$AB728,'In-Use Stocks'!$L$81:$L$97,0),MATCH(dataforsankey!$Y728,'In-Use Stocks'!$M$80:$V$80,0))</f>
        <v>0</v>
      </c>
      <c r="AH728" s="177" t="s">
        <v>575</v>
      </c>
    </row>
    <row r="729" spans="13:34" x14ac:dyDescent="0.2">
      <c r="M729" t="s">
        <v>92</v>
      </c>
      <c r="N729" s="11" t="str">
        <f>IF($M729=PlasticsUse!$D$93,Conversions!$A$17,IF($M729=PlasticsUse!$L$93,Conversions!$A$18,Conversions!$A$16))</f>
        <v>Transfer Station</v>
      </c>
      <c r="O729" s="11">
        <v>0</v>
      </c>
      <c r="P729" t="s">
        <v>575</v>
      </c>
      <c r="S729" t="s">
        <v>872</v>
      </c>
      <c r="T729" t="s">
        <v>39</v>
      </c>
      <c r="U729" s="11">
        <f t="shared" si="59"/>
        <v>0</v>
      </c>
      <c r="V729" t="s">
        <v>127</v>
      </c>
      <c r="Y729" s="177" t="s">
        <v>92</v>
      </c>
      <c r="Z729" s="178" t="str">
        <f>IF($M879=PlasticsUse!$D$93,Conversions!$A$17,IF($M879=PlasticsUse!$L$93,Conversions!$A$18,Conversions!$A$16))</f>
        <v>Transfer Station</v>
      </c>
      <c r="AA729" s="178">
        <f>INDEX('In-Use Stocks'!$M$81:$V$97,MATCH(dataforsankey!$AB729,'In-Use Stocks'!$L$81:$L$97,0),MATCH(dataforsankey!$Y729,'In-Use Stocks'!$M$80:$V$80,0))</f>
        <v>0</v>
      </c>
      <c r="AB729" s="177" t="s">
        <v>575</v>
      </c>
      <c r="AE729" s="177" t="s">
        <v>92</v>
      </c>
      <c r="AF729" s="178" t="str">
        <f>IF($M879=PlasticsUse!$D$93,Conversions!$A$17,IF($M879=PlasticsUse!$L$93,Conversions!$A$18,Conversions!$A$16))</f>
        <v>Transfer Station</v>
      </c>
      <c r="AG729" s="178">
        <f>INDEX('In-Use Stocks'!$M$81:$V$97,MATCH(dataforsankey!$AB729,'In-Use Stocks'!$L$81:$L$97,0),MATCH(dataforsankey!$Y729,'In-Use Stocks'!$M$80:$V$80,0))</f>
        <v>0</v>
      </c>
      <c r="AH729" s="177" t="s">
        <v>575</v>
      </c>
    </row>
    <row r="730" spans="13:34" x14ac:dyDescent="0.2">
      <c r="M730" t="s">
        <v>103</v>
      </c>
      <c r="N730" s="11" t="str">
        <f>IF($M730=PlasticsUse!$D$93,Conversions!$A$17,IF($M730=PlasticsUse!$L$93,Conversions!$A$18,Conversions!$A$16))</f>
        <v>Transfer Station</v>
      </c>
      <c r="O730" s="11">
        <v>0</v>
      </c>
      <c r="P730" t="s">
        <v>575</v>
      </c>
      <c r="S730" t="s">
        <v>872</v>
      </c>
      <c r="T730" t="s">
        <v>68</v>
      </c>
      <c r="U730" s="11">
        <f t="shared" si="59"/>
        <v>0</v>
      </c>
      <c r="V730" t="s">
        <v>127</v>
      </c>
      <c r="Y730" s="177" t="s">
        <v>103</v>
      </c>
      <c r="Z730" s="178" t="str">
        <f>IF($M880=PlasticsUse!$D$93,Conversions!$A$17,IF($M880=PlasticsUse!$L$93,Conversions!$A$18,Conversions!$A$16))</f>
        <v>Transfer Station</v>
      </c>
      <c r="AA730" s="178">
        <f>INDEX('In-Use Stocks'!$M$81:$V$97,MATCH(dataforsankey!$AB730,'In-Use Stocks'!$L$81:$L$97,0),MATCH(dataforsankey!$Y730,'In-Use Stocks'!$M$80:$V$80,0))</f>
        <v>0</v>
      </c>
      <c r="AB730" s="177" t="s">
        <v>575</v>
      </c>
      <c r="AE730" s="177" t="s">
        <v>103</v>
      </c>
      <c r="AF730" s="178" t="str">
        <f>IF($M880=PlasticsUse!$D$93,Conversions!$A$17,IF($M880=PlasticsUse!$L$93,Conversions!$A$18,Conversions!$A$16))</f>
        <v>Transfer Station</v>
      </c>
      <c r="AG730" s="178">
        <f>INDEX('In-Use Stocks'!$M$81:$V$97,MATCH(dataforsankey!$AB730,'In-Use Stocks'!$L$81:$L$97,0),MATCH(dataforsankey!$Y730,'In-Use Stocks'!$M$80:$V$80,0))</f>
        <v>0</v>
      </c>
      <c r="AH730" s="177" t="s">
        <v>575</v>
      </c>
    </row>
    <row r="731" spans="13:34" x14ac:dyDescent="0.2">
      <c r="M731" t="s">
        <v>86</v>
      </c>
      <c r="N731" s="11" t="str">
        <f>IF($M731=PlasticsUse!$D$93,Conversions!$A$17,IF($M731=PlasticsUse!$L$93,Conversions!$A$18,Conversions!$A$16))</f>
        <v>Transfer Station</v>
      </c>
      <c r="O731" s="11">
        <f>EndOfLife!J80</f>
        <v>0.8261398622005065</v>
      </c>
      <c r="P731" t="s">
        <v>575</v>
      </c>
      <c r="S731" t="s">
        <v>872</v>
      </c>
      <c r="T731" t="s">
        <v>63</v>
      </c>
      <c r="U731" s="11">
        <f t="shared" si="59"/>
        <v>0</v>
      </c>
      <c r="V731" t="s">
        <v>127</v>
      </c>
      <c r="Y731" s="177" t="s">
        <v>86</v>
      </c>
      <c r="Z731" s="178" t="str">
        <f>IF($M881=PlasticsUse!$D$93,Conversions!$A$17,IF($M881=PlasticsUse!$L$93,Conversions!$A$18,Conversions!$A$16))</f>
        <v>Transfer Station</v>
      </c>
      <c r="AA731" s="178">
        <f>INDEX('In-Use Stocks'!$M$81:$V$97,MATCH(dataforsankey!$AB731,'In-Use Stocks'!$L$81:$L$97,0),MATCH(dataforsankey!$Y731,'In-Use Stocks'!$M$80:$V$80,0))</f>
        <v>0.8261398622005065</v>
      </c>
      <c r="AB731" s="177" t="s">
        <v>575</v>
      </c>
      <c r="AE731" s="177" t="s">
        <v>86</v>
      </c>
      <c r="AF731" s="178" t="str">
        <f>IF($M881=PlasticsUse!$D$93,Conversions!$A$17,IF($M881=PlasticsUse!$L$93,Conversions!$A$18,Conversions!$A$16))</f>
        <v>Transfer Station</v>
      </c>
      <c r="AG731" s="178">
        <f>INDEX('In-Use Stocks'!$M$81:$V$97,MATCH(dataforsankey!$AB731,'In-Use Stocks'!$L$81:$L$97,0),MATCH(dataforsankey!$Y731,'In-Use Stocks'!$M$80:$V$80,0))</f>
        <v>0.8261398622005065</v>
      </c>
      <c r="AH731" s="177" t="s">
        <v>575</v>
      </c>
    </row>
    <row r="732" spans="13:34" x14ac:dyDescent="0.2">
      <c r="M732" t="s">
        <v>330</v>
      </c>
      <c r="N732" t="s">
        <v>191</v>
      </c>
      <c r="O732" s="11">
        <f>INDEX(EndOfLife!$L$64:$P$78,MATCH(dataforsankey!$P732,EndOfLife!$A$64:$A$78,0),MATCH(dataforsankey!$N732,EndOfLife!$L$63:$P$63,0))*INDEX(EndOfLife!$B$85:$C$99,MATCH(dataforsankey!$P732,EndOfLife!$A$85:$A$99,0),MATCH(dataforsankey!$M732,EndOfLife!$B$84:$C$84,0))</f>
        <v>3.069380475302677</v>
      </c>
      <c r="P732" t="s">
        <v>82</v>
      </c>
      <c r="S732" t="s">
        <v>872</v>
      </c>
      <c r="T732" t="s">
        <v>92</v>
      </c>
      <c r="U732" s="11">
        <f t="shared" si="59"/>
        <v>0</v>
      </c>
      <c r="V732" t="s">
        <v>127</v>
      </c>
      <c r="Y732" s="177" t="s">
        <v>38</v>
      </c>
      <c r="Z732" s="178" t="s">
        <v>925</v>
      </c>
      <c r="AA732" s="178">
        <f>INDEX('In-Use Stocks'!$M$104:$V$105,MATCH(dataforsankey!$AB732,'In-Use Stocks'!$L$83:$L$84,0),MATCH(dataforsankey!$Y732,'In-Use Stocks'!$M$80:$V$80,0))*INDEX(Bandwidth!$T$292:$T$293,MATCH(dataforsankey!$AB732,Bandwidth!$A$292:$A$293,0),1)</f>
        <v>8.4106271148078698E-2</v>
      </c>
      <c r="AB732" s="177" t="s">
        <v>8</v>
      </c>
      <c r="AE732" t="s">
        <v>330</v>
      </c>
      <c r="AF732" s="11" t="s">
        <v>6</v>
      </c>
      <c r="AG732" s="11">
        <f>INDEX(Bandwidth!$B$353:$T$369,MATCH(dataforsankey!$AH732,Bandwidth!$A$290:$A$306,0),MATCH(dataforsankey!$AF732,Bandwidth!$B$289:$T$289,0))</f>
        <v>0</v>
      </c>
      <c r="AH732" t="s">
        <v>8</v>
      </c>
    </row>
    <row r="733" spans="13:34" x14ac:dyDescent="0.2">
      <c r="M733" t="s">
        <v>330</v>
      </c>
      <c r="N733" t="s">
        <v>333</v>
      </c>
      <c r="O733" s="11">
        <f>INDEX(EndOfLife!$L$64:$P$78,MATCH(dataforsankey!$P733,EndOfLife!$A$64:$A$78,0),MATCH(dataforsankey!$N733,EndOfLife!$L$63:$P$63,0))*INDEX(EndOfLife!$B$85:$C$99,MATCH(dataforsankey!$P733,EndOfLife!$A$85:$A$99,0),MATCH(dataforsankey!$M733,EndOfLife!$B$84:$C$84,0))</f>
        <v>0.64802740611894927</v>
      </c>
      <c r="P733" t="s">
        <v>82</v>
      </c>
      <c r="S733" t="s">
        <v>872</v>
      </c>
      <c r="T733" t="s">
        <v>103</v>
      </c>
      <c r="U733" s="11">
        <f t="shared" si="59"/>
        <v>0</v>
      </c>
      <c r="V733" t="s">
        <v>127</v>
      </c>
      <c r="Y733" s="177" t="s">
        <v>99</v>
      </c>
      <c r="Z733" s="178" t="s">
        <v>925</v>
      </c>
      <c r="AA733" s="178">
        <f>INDEX('In-Use Stocks'!$M$104:$V$105,MATCH(dataforsankey!$AB733,'In-Use Stocks'!$L$83:$L$84,0),MATCH(dataforsankey!$Y733,'In-Use Stocks'!$M$80:$V$80,0))*INDEX(Bandwidth!$T$292:$T$293,MATCH(dataforsankey!$AB733,Bandwidth!$A$292:$A$293,0),1)</f>
        <v>0.20464494956706214</v>
      </c>
      <c r="AB733" s="177" t="s">
        <v>8</v>
      </c>
      <c r="AE733" t="s">
        <v>330</v>
      </c>
      <c r="AF733" s="11" t="s">
        <v>6</v>
      </c>
      <c r="AG733" s="11">
        <f>INDEX(Bandwidth!$B$353:$T$369,MATCH(dataforsankey!$AH733,Bandwidth!$A$290:$A$306,0),MATCH(dataforsankey!$AF733,Bandwidth!$B$289:$T$289,0))</f>
        <v>0</v>
      </c>
      <c r="AH733" t="s">
        <v>19</v>
      </c>
    </row>
    <row r="734" spans="13:34" ht="34" x14ac:dyDescent="0.2">
      <c r="M734" t="s">
        <v>330</v>
      </c>
      <c r="N734" t="s">
        <v>6</v>
      </c>
      <c r="O734" s="11">
        <f>INDEX(EndOfLife!$L$64:$P$78,MATCH(dataforsankey!$P734,EndOfLife!$A$64:$A$78,0),MATCH(dataforsankey!$N734,EndOfLife!$L$63:$P$63,0))*INDEX(EndOfLife!$B$85:$C$99,MATCH(dataforsankey!$P734,EndOfLife!$A$85:$A$99,0),MATCH(dataforsankey!$M734,EndOfLife!$B$84:$C$84,0))</f>
        <v>13.242799154716328</v>
      </c>
      <c r="P734" t="s">
        <v>82</v>
      </c>
      <c r="S734" t="s">
        <v>872</v>
      </c>
      <c r="T734" t="s">
        <v>86</v>
      </c>
      <c r="U734" s="11">
        <f t="shared" si="59"/>
        <v>0</v>
      </c>
      <c r="V734" t="s">
        <v>127</v>
      </c>
      <c r="Y734" s="177" t="s">
        <v>100</v>
      </c>
      <c r="Z734" s="178" t="s">
        <v>925</v>
      </c>
      <c r="AA734" s="178">
        <f>INDEX('In-Use Stocks'!$M$104:$V$105,MATCH(dataforsankey!$AB734,'In-Use Stocks'!$L$83:$L$84,0),MATCH(dataforsankey!$Y734,'In-Use Stocks'!$M$80:$V$80,0))*INDEX(Bandwidth!$T$292:$T$293,MATCH(dataforsankey!$AB734,Bandwidth!$A$292:$A$293,0),1)</f>
        <v>0.16291001371591379</v>
      </c>
      <c r="AB734" s="177" t="s">
        <v>8</v>
      </c>
      <c r="AE734" t="s">
        <v>330</v>
      </c>
      <c r="AF734" s="11" t="s">
        <v>6</v>
      </c>
      <c r="AG734" s="11">
        <f>INDEX(Bandwidth!$B$353:$T$369,MATCH(dataforsankey!$AH734,Bandwidth!$A$290:$A$306,0),MATCH(dataforsankey!$AF734,Bandwidth!$B$289:$T$289,0))</f>
        <v>0</v>
      </c>
      <c r="AH734" s="28" t="s">
        <v>82</v>
      </c>
    </row>
    <row r="735" spans="13:34" ht="34" x14ac:dyDescent="0.2">
      <c r="M735" t="s">
        <v>330</v>
      </c>
      <c r="N735" t="s">
        <v>5</v>
      </c>
      <c r="O735" s="11">
        <f>INDEX(EndOfLife!$L$64:$P$78,MATCH(dataforsankey!$P735,EndOfLife!$A$64:$A$78,0),MATCH(dataforsankey!$N735,EndOfLife!$L$63:$P$63,0))*INDEX(EndOfLife!$B$85:$C$99,MATCH(dataforsankey!$P735,EndOfLife!$A$85:$A$99,0),MATCH(dataforsankey!$M735,EndOfLife!$B$84:$C$84,0))</f>
        <v>1.555198347731312</v>
      </c>
      <c r="P735" t="s">
        <v>82</v>
      </c>
      <c r="S735" t="s">
        <v>872</v>
      </c>
      <c r="T735" t="s">
        <v>18</v>
      </c>
      <c r="U735" s="11">
        <f t="shared" si="59"/>
        <v>0</v>
      </c>
      <c r="V735" t="s">
        <v>127</v>
      </c>
      <c r="Y735" s="177" t="s">
        <v>39</v>
      </c>
      <c r="Z735" s="178" t="s">
        <v>925</v>
      </c>
      <c r="AA735" s="178">
        <f>INDEX('In-Use Stocks'!$M$104:$V$105,MATCH(dataforsankey!$AB735,'In-Use Stocks'!$L$83:$L$84,0),MATCH(dataforsankey!$Y735,'In-Use Stocks'!$M$80:$V$80,0))*INDEX(Bandwidth!$T$292:$T$293,MATCH(dataforsankey!$AB735,Bandwidth!$A$292:$A$293,0),1)</f>
        <v>0.26025963586560441</v>
      </c>
      <c r="AB735" s="177" t="s">
        <v>8</v>
      </c>
      <c r="AE735" s="177" t="s">
        <v>330</v>
      </c>
      <c r="AF735" s="178" t="s">
        <v>191</v>
      </c>
      <c r="AG735" s="178">
        <f>INDEX(Bandwidth!$T$353:$T$369,MATCH(dataforsankey!$AH735,Bandwidth!$A$353:$A$369,0),1)-INDEX($AG$974:$AG$990,MATCH($AH735,$AH$974:$AH$990,0),1)</f>
        <v>18.055406295063893</v>
      </c>
      <c r="AH735" s="181" t="s">
        <v>82</v>
      </c>
    </row>
    <row r="736" spans="13:34" ht="34" x14ac:dyDescent="0.2">
      <c r="M736" t="s">
        <v>330</v>
      </c>
      <c r="N736" t="s">
        <v>358</v>
      </c>
      <c r="O736" s="11">
        <f>INDEX(EndOfLife!$L$64:$P$78,MATCH(dataforsankey!$P736,EndOfLife!$A$64:$A$78,0),MATCH(dataforsankey!$N736,EndOfLife!$L$63:$P$63,0))*INDEX(EndOfLife!$B$85:$C$99,MATCH(dataforsankey!$P736,EndOfLife!$A$85:$A$99,0),MATCH(dataforsankey!$M736,EndOfLife!$B$84:$C$84,0))</f>
        <v>0</v>
      </c>
      <c r="P736" t="s">
        <v>82</v>
      </c>
      <c r="S736" t="s">
        <v>872</v>
      </c>
      <c r="T736" t="s">
        <v>38</v>
      </c>
      <c r="U736" s="11">
        <f t="shared" si="59"/>
        <v>3.6572862708552097E-2</v>
      </c>
      <c r="V736" t="s">
        <v>8</v>
      </c>
      <c r="Y736" s="177" t="s">
        <v>68</v>
      </c>
      <c r="Z736" s="178" t="s">
        <v>925</v>
      </c>
      <c r="AA736" s="178">
        <f>INDEX('In-Use Stocks'!$M$104:$V$105,MATCH(dataforsankey!$AB736,'In-Use Stocks'!$L$83:$L$84,0),MATCH(dataforsankey!$Y736,'In-Use Stocks'!$M$80:$V$80,0))*INDEX(Bandwidth!$T$292:$T$293,MATCH(dataforsankey!$AB736,Bandwidth!$A$292:$A$293,0),1)</f>
        <v>0.23122956468670358</v>
      </c>
      <c r="AB736" s="177" t="s">
        <v>8</v>
      </c>
      <c r="AE736" s="11" t="s">
        <v>191</v>
      </c>
      <c r="AF736" s="11" t="s">
        <v>215</v>
      </c>
      <c r="AG736" s="11">
        <f>INDEX(Bandwidth!$B$353:$T$369,MATCH(dataforsankey!$AH736,Bandwidth!$A$290:$A$306,0),MATCH(dataforsankey!$AF736,Bandwidth!$B$289:$T$289,0))</f>
        <v>0</v>
      </c>
      <c r="AH736" s="28" t="s">
        <v>82</v>
      </c>
    </row>
    <row r="737" spans="13:34" ht="34" x14ac:dyDescent="0.2">
      <c r="M737" t="s">
        <v>335</v>
      </c>
      <c r="N737" t="s">
        <v>191</v>
      </c>
      <c r="O737" s="11">
        <f>INDEX(EndOfLife!$L$64:$P$78,MATCH(dataforsankey!$P737,EndOfLife!$A$64:$A$78,0),MATCH(dataforsankey!$N737,EndOfLife!$L$63:$P$63,0))*INDEX(EndOfLife!$B$85:$C$99,MATCH(dataforsankey!$P737,EndOfLife!$A$85:$A$99,0),MATCH(dataforsankey!$M737,EndOfLife!$B$84:$C$84,0))</f>
        <v>0.30693190889208982</v>
      </c>
      <c r="P737" t="s">
        <v>82</v>
      </c>
      <c r="S737" t="s">
        <v>872</v>
      </c>
      <c r="T737" t="s">
        <v>99</v>
      </c>
      <c r="U737" s="11">
        <f t="shared" si="59"/>
        <v>3.6572862708552097E-2</v>
      </c>
      <c r="V737" t="s">
        <v>8</v>
      </c>
      <c r="Y737" s="177" t="s">
        <v>63</v>
      </c>
      <c r="Z737" s="178" t="s">
        <v>925</v>
      </c>
      <c r="AA737" s="178">
        <f>INDEX('In-Use Stocks'!$M$104:$V$105,MATCH(dataforsankey!$AB737,'In-Use Stocks'!$L$83:$L$84,0),MATCH(dataforsankey!$Y737,'In-Use Stocks'!$M$80:$V$80,0))*INDEX(Bandwidth!$T$292:$T$293,MATCH(dataforsankey!$AB737,Bandwidth!$A$292:$A$293,0),1)</f>
        <v>0.21159431579587068</v>
      </c>
      <c r="AB737" s="177" t="s">
        <v>8</v>
      </c>
      <c r="AE737" s="11" t="s">
        <v>191</v>
      </c>
      <c r="AF737" s="11" t="s">
        <v>216</v>
      </c>
      <c r="AG737" s="11">
        <f>INDEX(Bandwidth!$B$353:$T$369,MATCH(dataforsankey!$AH737,Bandwidth!$A$290:$A$306,0),MATCH(dataforsankey!$AF737,Bandwidth!$B$289:$T$289,0))</f>
        <v>0</v>
      </c>
      <c r="AH737" s="28" t="s">
        <v>82</v>
      </c>
    </row>
    <row r="738" spans="13:34" ht="34" x14ac:dyDescent="0.2">
      <c r="M738" t="s">
        <v>335</v>
      </c>
      <c r="N738" t="s">
        <v>6</v>
      </c>
      <c r="O738" s="11">
        <f>INDEX(EndOfLife!$L$64:$P$78,MATCH(dataforsankey!$P738,EndOfLife!$A$64:$A$78,0),MATCH(dataforsankey!$N738,EndOfLife!$L$63:$P$63,0))*INDEX(EndOfLife!$B$85:$C$99,MATCH(dataforsankey!$P738,EndOfLife!$A$85:$A$99,0),MATCH(dataforsankey!$M738,EndOfLife!$B$84:$C$84,0))</f>
        <v>1.3242534304030247</v>
      </c>
      <c r="P738" t="s">
        <v>82</v>
      </c>
      <c r="S738" t="s">
        <v>872</v>
      </c>
      <c r="T738" t="s">
        <v>69</v>
      </c>
      <c r="U738" s="11">
        <f t="shared" si="59"/>
        <v>3.6572862708552097E-2</v>
      </c>
      <c r="V738" t="s">
        <v>8</v>
      </c>
      <c r="Y738" s="177" t="s">
        <v>92</v>
      </c>
      <c r="Z738" s="178" t="s">
        <v>925</v>
      </c>
      <c r="AA738" s="178">
        <f>INDEX('In-Use Stocks'!$M$104:$V$105,MATCH(dataforsankey!$AB738,'In-Use Stocks'!$L$83:$L$84,0),MATCH(dataforsankey!$Y738,'In-Use Stocks'!$M$80:$V$80,0))*INDEX(Bandwidth!$T$292:$T$293,MATCH(dataforsankey!$AB738,Bandwidth!$A$292:$A$293,0),1)</f>
        <v>0.18307138716154769</v>
      </c>
      <c r="AB738" s="177" t="s">
        <v>8</v>
      </c>
      <c r="AE738" s="11" t="s">
        <v>191</v>
      </c>
      <c r="AF738" s="11" t="s">
        <v>217</v>
      </c>
      <c r="AG738" s="11">
        <f>INDEX(Bandwidth!$B$353:$T$369,MATCH(dataforsankey!$AH738,Bandwidth!$A$290:$A$306,0),MATCH(dataforsankey!$AF738,Bandwidth!$B$289:$T$289,0))</f>
        <v>10.183454446093013</v>
      </c>
      <c r="AH738" s="28" t="s">
        <v>82</v>
      </c>
    </row>
    <row r="739" spans="13:34" ht="34" x14ac:dyDescent="0.2">
      <c r="M739" t="s">
        <v>335</v>
      </c>
      <c r="N739" t="s">
        <v>5</v>
      </c>
      <c r="O739" s="11">
        <f>INDEX(EndOfLife!$L$64:$P$78,MATCH(dataforsankey!$P739,EndOfLife!$A$64:$A$78,0),MATCH(dataforsankey!$N739,EndOfLife!$L$63:$P$63,0))*INDEX(EndOfLife!$B$85:$C$99,MATCH(dataforsankey!$P739,EndOfLife!$A$85:$A$99,0),MATCH(dataforsankey!$M739,EndOfLife!$B$84:$C$84,0))</f>
        <v>0.15551672443864242</v>
      </c>
      <c r="P739" t="s">
        <v>82</v>
      </c>
      <c r="S739" t="s">
        <v>872</v>
      </c>
      <c r="T739" t="s">
        <v>100</v>
      </c>
      <c r="U739" s="11">
        <f t="shared" si="59"/>
        <v>3.6572862708552097E-2</v>
      </c>
      <c r="V739" t="s">
        <v>8</v>
      </c>
      <c r="Y739" s="177" t="s">
        <v>103</v>
      </c>
      <c r="Z739" s="178" t="s">
        <v>925</v>
      </c>
      <c r="AA739" s="178">
        <f>INDEX('In-Use Stocks'!$M$104:$V$105,MATCH(dataforsankey!$AB739,'In-Use Stocks'!$L$83:$L$84,0),MATCH(dataforsankey!$Y739,'In-Use Stocks'!$M$80:$V$80,0))*INDEX(Bandwidth!$T$292:$T$293,MATCH(dataforsankey!$AB739,Bandwidth!$A$292:$A$293,0),1)</f>
        <v>0</v>
      </c>
      <c r="AB739" s="177" t="s">
        <v>8</v>
      </c>
      <c r="AE739" s="11" t="s">
        <v>191</v>
      </c>
      <c r="AF739" s="11" t="s">
        <v>218</v>
      </c>
      <c r="AG739" s="11">
        <f>INDEX(Bandwidth!$B$353:$T$369,MATCH(dataforsankey!$AH739,Bandwidth!$A$290:$A$306,0),MATCH(dataforsankey!$AF739,Bandwidth!$B$289:$T$289,0))</f>
        <v>1.629352711374882</v>
      </c>
      <c r="AH739" s="28" t="s">
        <v>82</v>
      </c>
    </row>
    <row r="740" spans="13:34" ht="34" x14ac:dyDescent="0.2">
      <c r="M740" t="s">
        <v>335</v>
      </c>
      <c r="N740" t="s">
        <v>358</v>
      </c>
      <c r="O740" s="11">
        <f>INDEX(EndOfLife!$L$64:$P$78,MATCH(dataforsankey!$P740,EndOfLife!$A$64:$A$78,0),MATCH(dataforsankey!$N740,EndOfLife!$L$63:$P$63,0))*INDEX(EndOfLife!$B$85:$C$99,MATCH(dataforsankey!$P740,EndOfLife!$A$85:$A$99,0),MATCH(dataforsankey!$M740,EndOfLife!$B$84:$C$84,0))</f>
        <v>0</v>
      </c>
      <c r="P740" t="s">
        <v>82</v>
      </c>
      <c r="S740" t="s">
        <v>872</v>
      </c>
      <c r="T740" t="s">
        <v>39</v>
      </c>
      <c r="U740" s="11">
        <f t="shared" si="59"/>
        <v>3.6572862708552097E-2</v>
      </c>
      <c r="V740" t="s">
        <v>8</v>
      </c>
      <c r="Y740" s="177" t="s">
        <v>86</v>
      </c>
      <c r="Z740" s="178" t="s">
        <v>925</v>
      </c>
      <c r="AA740" s="178">
        <f>INDEX('In-Use Stocks'!$M$104:$V$105,MATCH(dataforsankey!$AB740,'In-Use Stocks'!$L$83:$L$84,0),MATCH(dataforsankey!$Y740,'In-Use Stocks'!$M$80:$V$80,0))*INDEX(Bandwidth!$T$292:$T$293,MATCH(dataforsankey!$AB740,Bandwidth!$A$292:$A$293,0),1)</f>
        <v>0.18307138716154769</v>
      </c>
      <c r="AB740" s="177" t="s">
        <v>8</v>
      </c>
      <c r="AE740" s="11" t="s">
        <v>191</v>
      </c>
      <c r="AF740" s="11" t="s">
        <v>219</v>
      </c>
      <c r="AG740" s="11">
        <f>INDEX(Bandwidth!$B$353:$T$369,MATCH(dataforsankey!$AH740,Bandwidth!$A$290:$A$306,0),MATCH(dataforsankey!$AF740,Bandwidth!$B$289:$T$289,0))</f>
        <v>3.0550363338279038</v>
      </c>
      <c r="AH740" s="28" t="s">
        <v>82</v>
      </c>
    </row>
    <row r="741" spans="13:34" ht="34" x14ac:dyDescent="0.2">
      <c r="M741" t="s">
        <v>330</v>
      </c>
      <c r="N741" t="s">
        <v>191</v>
      </c>
      <c r="O741" s="11">
        <f>INDEX(EndOfLife!$L$64:$P$78,MATCH(dataforsankey!$P741,EndOfLife!$A$64:$A$78,0),MATCH(dataforsankey!$N741,EndOfLife!$L$63:$P$63,0))*INDEX(EndOfLife!$B$85:$C$99,MATCH(dataforsankey!$P741,EndOfLife!$A$85:$A$99,0),MATCH(dataforsankey!$M741,EndOfLife!$B$84:$C$84,0))</f>
        <v>0.31504780184305953</v>
      </c>
      <c r="P741" t="s">
        <v>127</v>
      </c>
      <c r="S741" t="s">
        <v>872</v>
      </c>
      <c r="T741" t="s">
        <v>68</v>
      </c>
      <c r="U741" s="11">
        <f t="shared" si="59"/>
        <v>3.6572862708552097E-2</v>
      </c>
      <c r="V741" t="s">
        <v>8</v>
      </c>
      <c r="Y741" s="177" t="s">
        <v>38</v>
      </c>
      <c r="Z741" s="178" t="s">
        <v>925</v>
      </c>
      <c r="AA741" s="178">
        <f>INDEX('In-Use Stocks'!$M$104:$V$105,MATCH(dataforsankey!$AB741,'In-Use Stocks'!$L$83:$L$84,0),MATCH(dataforsankey!$Y741,'In-Use Stocks'!$M$80:$V$80,0))*INDEX(Bandwidth!$T$292:$T$293,MATCH(dataforsankey!$AB741,Bandwidth!$A$292:$A$293,0),1)</f>
        <v>7.298070966217339E-2</v>
      </c>
      <c r="AB741" s="177" t="s">
        <v>19</v>
      </c>
      <c r="AE741" s="11" t="s">
        <v>191</v>
      </c>
      <c r="AF741" s="11" t="s">
        <v>302</v>
      </c>
      <c r="AG741" s="11">
        <f>INDEX(Bandwidth!$B$353:$T$369,MATCH(dataforsankey!$AH741,Bandwidth!$A$290:$A$306,0),MATCH(dataforsankey!$AF741,Bandwidth!$B$289:$T$289,0))</f>
        <v>0</v>
      </c>
      <c r="AH741" s="28" t="s">
        <v>82</v>
      </c>
    </row>
    <row r="742" spans="13:34" ht="34" x14ac:dyDescent="0.2">
      <c r="M742" t="s">
        <v>330</v>
      </c>
      <c r="N742" t="s">
        <v>333</v>
      </c>
      <c r="O742" s="11">
        <f>INDEX(EndOfLife!$L$64:$P$78,MATCH(dataforsankey!$P742,EndOfLife!$A$64:$A$78,0),MATCH(dataforsankey!$N742,EndOfLife!$L$63:$P$63,0))*INDEX(EndOfLife!$B$85:$C$99,MATCH(dataforsankey!$P742,EndOfLife!$A$85:$A$99,0),MATCH(dataforsankey!$M742,EndOfLife!$B$84:$C$84,0))</f>
        <v>0</v>
      </c>
      <c r="P742" t="s">
        <v>127</v>
      </c>
      <c r="S742" t="s">
        <v>872</v>
      </c>
      <c r="T742" t="s">
        <v>63</v>
      </c>
      <c r="U742" s="11">
        <f t="shared" si="59"/>
        <v>3.6572862708552097E-2</v>
      </c>
      <c r="V742" t="s">
        <v>8</v>
      </c>
      <c r="Y742" s="177" t="s">
        <v>99</v>
      </c>
      <c r="Z742" s="178" t="s">
        <v>925</v>
      </c>
      <c r="AA742" s="178">
        <f>INDEX('In-Use Stocks'!$M$104:$V$105,MATCH(dataforsankey!$AB742,'In-Use Stocks'!$L$83:$L$84,0),MATCH(dataforsankey!$Y742,'In-Use Stocks'!$M$80:$V$80,0))*INDEX(Bandwidth!$T$292:$T$293,MATCH(dataforsankey!$AB742,Bandwidth!$A$292:$A$293,0),1)</f>
        <v>0.17757455471886119</v>
      </c>
      <c r="AB742" s="177" t="s">
        <v>19</v>
      </c>
      <c r="AE742" s="11" t="s">
        <v>191</v>
      </c>
      <c r="AF742" s="11" t="s">
        <v>220</v>
      </c>
      <c r="AG742" s="11">
        <f>INDEX(Bandwidth!$B$353:$T$369,MATCH(dataforsankey!$AH742,Bandwidth!$A$290:$A$306,0),MATCH(dataforsankey!$AF742,Bandwidth!$B$289:$T$289,0))</f>
        <v>1.4256836224530218</v>
      </c>
      <c r="AH742" s="28" t="s">
        <v>82</v>
      </c>
    </row>
    <row r="743" spans="13:34" ht="34" x14ac:dyDescent="0.2">
      <c r="M743" t="s">
        <v>330</v>
      </c>
      <c r="N743" t="s">
        <v>6</v>
      </c>
      <c r="O743" s="11">
        <f>INDEX(EndOfLife!$L$64:$P$78,MATCH(dataforsankey!$P743,EndOfLife!$A$64:$A$78,0),MATCH(dataforsankey!$N743,EndOfLife!$L$63:$P$63,0))*INDEX(EndOfLife!$B$85:$C$99,MATCH(dataforsankey!$P743,EndOfLife!$A$85:$A$99,0),MATCH(dataforsankey!$M743,EndOfLife!$B$84:$C$84,0))</f>
        <v>1.4257842613476546</v>
      </c>
      <c r="P743" t="s">
        <v>127</v>
      </c>
      <c r="S743" t="s">
        <v>872</v>
      </c>
      <c r="T743" t="s">
        <v>92</v>
      </c>
      <c r="U743" s="11">
        <f t="shared" si="59"/>
        <v>3.6572862708552097E-2</v>
      </c>
      <c r="V743" t="s">
        <v>8</v>
      </c>
      <c r="Y743" s="177" t="s">
        <v>100</v>
      </c>
      <c r="Z743" s="178" t="s">
        <v>925</v>
      </c>
      <c r="AA743" s="178">
        <f>INDEX('In-Use Stocks'!$M$104:$V$105,MATCH(dataforsankey!$AB743,'In-Use Stocks'!$L$83:$L$84,0),MATCH(dataforsankey!$Y743,'In-Use Stocks'!$M$80:$V$80,0))*INDEX(Bandwidth!$T$292:$T$293,MATCH(dataforsankey!$AB743,Bandwidth!$A$292:$A$293,0),1)</f>
        <v>0.14136030821208728</v>
      </c>
      <c r="AB743" s="177" t="s">
        <v>19</v>
      </c>
      <c r="AE743" s="11" t="s">
        <v>191</v>
      </c>
      <c r="AF743" s="11" t="s">
        <v>221</v>
      </c>
      <c r="AG743" s="11">
        <f>INDEX(Bandwidth!$B$353:$T$369,MATCH(dataforsankey!$AH743,Bandwidth!$A$290:$A$306,0),MATCH(dataforsankey!$AF743,Bandwidth!$B$289:$T$289,0))</f>
        <v>0</v>
      </c>
      <c r="AH743" s="28" t="s">
        <v>82</v>
      </c>
    </row>
    <row r="744" spans="13:34" ht="34" x14ac:dyDescent="0.2">
      <c r="M744" t="s">
        <v>330</v>
      </c>
      <c r="N744" t="s">
        <v>5</v>
      </c>
      <c r="O744" s="11">
        <f>INDEX(EndOfLife!$L$64:$P$78,MATCH(dataforsankey!$P744,EndOfLife!$A$64:$A$78,0),MATCH(dataforsankey!$N744,EndOfLife!$L$63:$P$63,0))*INDEX(EndOfLife!$B$85:$C$99,MATCH(dataforsankey!$P744,EndOfLife!$A$85:$A$99,0),MATCH(dataforsankey!$M744,EndOfLife!$B$84:$C$84,0))</f>
        <v>0.15962889737036981</v>
      </c>
      <c r="P744" t="s">
        <v>127</v>
      </c>
      <c r="S744" t="s">
        <v>872</v>
      </c>
      <c r="T744" t="s">
        <v>103</v>
      </c>
      <c r="U744" s="11">
        <f t="shared" si="59"/>
        <v>0</v>
      </c>
      <c r="V744" t="s">
        <v>8</v>
      </c>
      <c r="Y744" s="177" t="s">
        <v>39</v>
      </c>
      <c r="Z744" s="178" t="s">
        <v>925</v>
      </c>
      <c r="AA744" s="178">
        <f>INDEX('In-Use Stocks'!$M$104:$V$105,MATCH(dataforsankey!$AB744,'In-Use Stocks'!$L$83:$L$84,0),MATCH(dataforsankey!$Y744,'In-Use Stocks'!$M$80:$V$80,0))*INDEX(Bandwidth!$T$292:$T$293,MATCH(dataforsankey!$AB744,Bandwidth!$A$292:$A$293,0),1)</f>
        <v>0.22583254093442867</v>
      </c>
      <c r="AB744" s="177" t="s">
        <v>19</v>
      </c>
      <c r="AE744" s="11" t="s">
        <v>191</v>
      </c>
      <c r="AF744" s="11" t="s">
        <v>222</v>
      </c>
      <c r="AG744" s="11">
        <f>INDEX(Bandwidth!$B$353:$T$369,MATCH(dataforsankey!$AH744,Bandwidth!$A$290:$A$306,0),MATCH(dataforsankey!$AF744,Bandwidth!$B$289:$T$289,0))</f>
        <v>0</v>
      </c>
      <c r="AH744" s="28" t="s">
        <v>82</v>
      </c>
    </row>
    <row r="745" spans="13:34" ht="34" x14ac:dyDescent="0.2">
      <c r="M745" t="s">
        <v>330</v>
      </c>
      <c r="N745" t="s">
        <v>358</v>
      </c>
      <c r="O745" s="11">
        <f>INDEX(EndOfLife!$L$64:$P$78,MATCH(dataforsankey!$P745,EndOfLife!$A$64:$A$78,0),MATCH(dataforsankey!$N745,EndOfLife!$L$63:$P$63,0))*INDEX(EndOfLife!$B$85:$C$99,MATCH(dataforsankey!$P745,EndOfLife!$A$85:$A$99,0),MATCH(dataforsankey!$M745,EndOfLife!$B$84:$C$84,0))</f>
        <v>0</v>
      </c>
      <c r="P745" t="s">
        <v>127</v>
      </c>
      <c r="S745" t="s">
        <v>872</v>
      </c>
      <c r="T745" t="s">
        <v>86</v>
      </c>
      <c r="U745" s="11">
        <f t="shared" si="59"/>
        <v>3.6572862708552097E-2</v>
      </c>
      <c r="V745" t="s">
        <v>8</v>
      </c>
      <c r="Y745" s="177" t="s">
        <v>68</v>
      </c>
      <c r="Z745" s="178" t="s">
        <v>925</v>
      </c>
      <c r="AA745" s="178">
        <f>INDEX('In-Use Stocks'!$M$104:$V$105,MATCH(dataforsankey!$AB745,'In-Use Stocks'!$L$83:$L$84,0),MATCH(dataforsankey!$Y745,'In-Use Stocks'!$M$80:$V$80,0))*INDEX(Bandwidth!$T$292:$T$293,MATCH(dataforsankey!$AB745,Bandwidth!$A$292:$A$293,0),1)</f>
        <v>0.20064256202727337</v>
      </c>
      <c r="AB745" s="177" t="s">
        <v>19</v>
      </c>
      <c r="AE745" s="11" t="s">
        <v>191</v>
      </c>
      <c r="AF745" s="11" t="s">
        <v>223</v>
      </c>
      <c r="AG745" s="11">
        <f>INDEX(Bandwidth!$B$353:$T$369,MATCH(dataforsankey!$AH745,Bandwidth!$A$290:$A$306,0),MATCH(dataforsankey!$AF745,Bandwidth!$B$289:$T$289,0))</f>
        <v>3.0550363338279038</v>
      </c>
      <c r="AH745" s="28" t="s">
        <v>82</v>
      </c>
    </row>
    <row r="746" spans="13:34" ht="34" x14ac:dyDescent="0.2">
      <c r="M746" t="s">
        <v>335</v>
      </c>
      <c r="N746" t="s">
        <v>191</v>
      </c>
      <c r="O746" s="11">
        <f>INDEX(EndOfLife!$L$64:$P$78,MATCH(dataforsankey!$P746,EndOfLife!$A$64:$A$78,0),MATCH(dataforsankey!$N746,EndOfLife!$L$63:$P$63,0))*INDEX(EndOfLife!$B$85:$C$99,MATCH(dataforsankey!$P746,EndOfLife!$A$85:$A$99,0),MATCH(dataforsankey!$M746,EndOfLife!$B$84:$C$84,0))</f>
        <v>0</v>
      </c>
      <c r="P746" t="s">
        <v>127</v>
      </c>
      <c r="S746" t="s">
        <v>872</v>
      </c>
      <c r="T746" t="s">
        <v>18</v>
      </c>
      <c r="U746" s="11">
        <f t="shared" si="59"/>
        <v>3.6572862708552097E-2</v>
      </c>
      <c r="V746" t="s">
        <v>8</v>
      </c>
      <c r="Y746" s="177" t="s">
        <v>63</v>
      </c>
      <c r="Z746" s="178" t="s">
        <v>925</v>
      </c>
      <c r="AA746" s="178">
        <f>INDEX('In-Use Stocks'!$M$104:$V$105,MATCH(dataforsankey!$AB746,'In-Use Stocks'!$L$83:$L$84,0),MATCH(dataforsankey!$Y746,'In-Use Stocks'!$M$80:$V$80,0))*INDEX(Bandwidth!$T$292:$T$293,MATCH(dataforsankey!$AB746,Bandwidth!$A$292:$A$293,0),1)</f>
        <v>0.18360466011002588</v>
      </c>
      <c r="AB746" s="177" t="s">
        <v>19</v>
      </c>
      <c r="AE746" s="11" t="s">
        <v>191</v>
      </c>
      <c r="AF746" s="11" t="s">
        <v>224</v>
      </c>
      <c r="AG746" s="11">
        <f>INDEX(Bandwidth!$B$353:$T$369,MATCH(dataforsankey!$AH746,Bandwidth!$A$290:$A$306,0),MATCH(dataforsankey!$AF746,Bandwidth!$B$289:$T$289,0))</f>
        <v>1.0183454446093012</v>
      </c>
      <c r="AH746" s="28" t="s">
        <v>82</v>
      </c>
    </row>
    <row r="747" spans="13:34" ht="34" x14ac:dyDescent="0.2">
      <c r="M747" t="s">
        <v>335</v>
      </c>
      <c r="N747" t="s">
        <v>6</v>
      </c>
      <c r="O747" s="11">
        <f>INDEX(EndOfLife!$L$64:$P$78,MATCH(dataforsankey!$P747,EndOfLife!$A$64:$A$78,0),MATCH(dataforsankey!$N747,EndOfLife!$L$63:$P$63,0))*INDEX(EndOfLife!$B$85:$C$99,MATCH(dataforsankey!$P747,EndOfLife!$A$85:$A$99,0),MATCH(dataforsankey!$M747,EndOfLife!$B$84:$C$84,0))</f>
        <v>0</v>
      </c>
      <c r="P747" t="s">
        <v>127</v>
      </c>
      <c r="S747" t="s">
        <v>872</v>
      </c>
      <c r="T747" t="s">
        <v>38</v>
      </c>
      <c r="U747" s="11">
        <f t="shared" si="59"/>
        <v>4.4622967636497122E-3</v>
      </c>
      <c r="V747" t="s">
        <v>19</v>
      </c>
      <c r="Y747" s="177" t="s">
        <v>92</v>
      </c>
      <c r="Z747" s="178" t="s">
        <v>925</v>
      </c>
      <c r="AA747" s="178">
        <f>INDEX('In-Use Stocks'!$M$104:$V$105,MATCH(dataforsankey!$AB747,'In-Use Stocks'!$L$83:$L$84,0),MATCH(dataforsankey!$Y747,'In-Use Stocks'!$M$80:$V$80,0))*INDEX(Bandwidth!$T$292:$T$293,MATCH(dataforsankey!$AB747,Bandwidth!$A$292:$A$293,0),1)</f>
        <v>0.15885473902849939</v>
      </c>
      <c r="AB747" s="177" t="s">
        <v>19</v>
      </c>
      <c r="AE747" s="11" t="s">
        <v>191</v>
      </c>
      <c r="AF747" s="11" t="s">
        <v>225</v>
      </c>
      <c r="AG747" s="11">
        <f>INDEX(Bandwidth!$B$353:$T$369,MATCH(dataforsankey!$AH747,Bandwidth!$A$290:$A$306,0),MATCH(dataforsankey!$AF747,Bandwidth!$B$289:$T$289,0))</f>
        <v>0</v>
      </c>
      <c r="AH747" s="28" t="s">
        <v>82</v>
      </c>
    </row>
    <row r="748" spans="13:34" ht="34" x14ac:dyDescent="0.2">
      <c r="M748" t="s">
        <v>335</v>
      </c>
      <c r="N748" t="s">
        <v>5</v>
      </c>
      <c r="O748" s="11">
        <f>INDEX(EndOfLife!$L$64:$P$78,MATCH(dataforsankey!$P748,EndOfLife!$A$64:$A$78,0),MATCH(dataforsankey!$N748,EndOfLife!$L$63:$P$63,0))*INDEX(EndOfLife!$B$85:$C$99,MATCH(dataforsankey!$P748,EndOfLife!$A$85:$A$99,0),MATCH(dataforsankey!$M748,EndOfLife!$B$84:$C$84,0))</f>
        <v>0</v>
      </c>
      <c r="P748" t="s">
        <v>127</v>
      </c>
      <c r="S748" t="s">
        <v>872</v>
      </c>
      <c r="T748" t="s">
        <v>99</v>
      </c>
      <c r="U748" s="11">
        <f t="shared" si="59"/>
        <v>4.4622967636497122E-3</v>
      </c>
      <c r="V748" t="s">
        <v>19</v>
      </c>
      <c r="Y748" s="177" t="s">
        <v>103</v>
      </c>
      <c r="Z748" s="178" t="s">
        <v>925</v>
      </c>
      <c r="AA748" s="178">
        <f>INDEX('In-Use Stocks'!$M$104:$V$105,MATCH(dataforsankey!$AB748,'In-Use Stocks'!$L$83:$L$84,0),MATCH(dataforsankey!$Y748,'In-Use Stocks'!$M$80:$V$80,0))*INDEX(Bandwidth!$T$292:$T$293,MATCH(dataforsankey!$AB748,Bandwidth!$A$292:$A$293,0),1)</f>
        <v>0</v>
      </c>
      <c r="AB748" s="177" t="s">
        <v>19</v>
      </c>
      <c r="AE748" s="11" t="s">
        <v>191</v>
      </c>
      <c r="AF748" s="11" t="s">
        <v>226</v>
      </c>
      <c r="AG748" s="11">
        <f>INDEX(Bandwidth!$B$353:$T$369,MATCH(dataforsankey!$AH748,Bandwidth!$A$290:$A$306,0),MATCH(dataforsankey!$AF748,Bandwidth!$B$289:$T$289,0))</f>
        <v>0</v>
      </c>
      <c r="AH748" s="28" t="s">
        <v>82</v>
      </c>
    </row>
    <row r="749" spans="13:34" ht="34" x14ac:dyDescent="0.2">
      <c r="M749" t="s">
        <v>335</v>
      </c>
      <c r="N749" t="s">
        <v>358</v>
      </c>
      <c r="O749" s="11">
        <f>INDEX(EndOfLife!$L$64:$P$78,MATCH(dataforsankey!$P749,EndOfLife!$A$64:$A$78,0),MATCH(dataforsankey!$N749,EndOfLife!$L$63:$P$63,0))*INDEX(EndOfLife!$B$85:$C$99,MATCH(dataforsankey!$P749,EndOfLife!$A$85:$A$99,0),MATCH(dataforsankey!$M749,EndOfLife!$B$84:$C$84,0))</f>
        <v>0</v>
      </c>
      <c r="P749" t="s">
        <v>127</v>
      </c>
      <c r="S749" t="s">
        <v>872</v>
      </c>
      <c r="T749" t="s">
        <v>69</v>
      </c>
      <c r="U749" s="11">
        <f t="shared" si="59"/>
        <v>4.4622967636497122E-3</v>
      </c>
      <c r="V749" t="s">
        <v>19</v>
      </c>
      <c r="Y749" s="177" t="s">
        <v>86</v>
      </c>
      <c r="Z749" s="178" t="s">
        <v>925</v>
      </c>
      <c r="AA749" s="178">
        <f>INDEX('In-Use Stocks'!$M$104:$V$105,MATCH(dataforsankey!$AB749,'In-Use Stocks'!$L$83:$L$84,0),MATCH(dataforsankey!$Y749,'In-Use Stocks'!$M$80:$V$80,0))*INDEX(Bandwidth!$T$292:$T$293,MATCH(dataforsankey!$AB749,Bandwidth!$A$292:$A$293,0),1)</f>
        <v>0.15885473902849939</v>
      </c>
      <c r="AB749" s="177" t="s">
        <v>19</v>
      </c>
      <c r="AE749" s="11" t="s">
        <v>191</v>
      </c>
      <c r="AF749" s="11" t="s">
        <v>279</v>
      </c>
      <c r="AG749" s="11">
        <f>INDEX(Bandwidth!$B$353:$T$369,MATCH(dataforsankey!$AH749,Bandwidth!$A$290:$A$306,0),MATCH(dataforsankey!$AF749,Bandwidth!$B$289:$T$289,0))</f>
        <v>0</v>
      </c>
      <c r="AH749" s="28" t="s">
        <v>82</v>
      </c>
    </row>
    <row r="750" spans="13:34" ht="34" x14ac:dyDescent="0.2">
      <c r="M750" t="s">
        <v>330</v>
      </c>
      <c r="N750" t="s">
        <v>191</v>
      </c>
      <c r="O750" s="11">
        <f>INDEX(EndOfLife!$L$64:$P$78,MATCH(dataforsankey!$P750,EndOfLife!$A$64:$A$78,0),MATCH(dataforsankey!$N750,EndOfLife!$L$63:$P$63,0))*INDEX(EndOfLife!$B$85:$C$99,MATCH(dataforsankey!$P750,EndOfLife!$A$85:$A$99,0),MATCH(dataforsankey!$M750,EndOfLife!$B$84:$C$84,0))</f>
        <v>0</v>
      </c>
      <c r="P750" t="s">
        <v>8</v>
      </c>
      <c r="S750" t="s">
        <v>872</v>
      </c>
      <c r="T750" t="s">
        <v>100</v>
      </c>
      <c r="U750" s="11">
        <f t="shared" si="59"/>
        <v>4.4622967636497122E-3</v>
      </c>
      <c r="V750" t="s">
        <v>19</v>
      </c>
      <c r="Y750" t="s">
        <v>330</v>
      </c>
      <c r="Z750" s="11" t="s">
        <v>6</v>
      </c>
      <c r="AA750" s="11">
        <f>INDEX(Bandwidth!$B$290:$T$306,MATCH(dataforsankey!$AB750,Bandwidth!$A$290:$A$306,0),MATCH(dataforsankey!$Z750,Bandwidth!$B$289:$T$289,0))</f>
        <v>0</v>
      </c>
      <c r="AB750" t="s">
        <v>8</v>
      </c>
      <c r="AE750" t="s">
        <v>330</v>
      </c>
      <c r="AF750" s="11" t="s">
        <v>6</v>
      </c>
      <c r="AG750" s="11">
        <f>INDEX(Bandwidth!$B$353:$T$369,MATCH(dataforsankey!$AH750,Bandwidth!$A$290:$A$306,0),MATCH(dataforsankey!$AF750,Bandwidth!$B$289:$T$289,0))</f>
        <v>0</v>
      </c>
      <c r="AH750" s="28" t="s">
        <v>127</v>
      </c>
    </row>
    <row r="751" spans="13:34" ht="34" x14ac:dyDescent="0.2">
      <c r="M751" t="s">
        <v>330</v>
      </c>
      <c r="N751" t="s">
        <v>333</v>
      </c>
      <c r="O751" s="11">
        <f>INDEX(EndOfLife!$L$64:$P$78,MATCH(dataforsankey!$P751,EndOfLife!$A$64:$A$78,0),MATCH(dataforsankey!$N751,EndOfLife!$L$63:$P$63,0))*INDEX(EndOfLife!$B$85:$C$99,MATCH(dataforsankey!$P751,EndOfLife!$A$85:$A$99,0),MATCH(dataforsankey!$M751,EndOfLife!$B$84:$C$84,0))</f>
        <v>6.1612931827464835E-2</v>
      </c>
      <c r="P751" t="s">
        <v>8</v>
      </c>
      <c r="S751" t="s">
        <v>872</v>
      </c>
      <c r="T751" t="s">
        <v>39</v>
      </c>
      <c r="U751" s="11">
        <f t="shared" si="59"/>
        <v>4.4622967636497122E-3</v>
      </c>
      <c r="V751" t="s">
        <v>19</v>
      </c>
      <c r="Y751" t="s">
        <v>925</v>
      </c>
      <c r="Z751" s="11" t="s">
        <v>213</v>
      </c>
      <c r="AA751" s="11">
        <v>0</v>
      </c>
      <c r="AB751" t="s">
        <v>8</v>
      </c>
      <c r="AE751" s="177" t="s">
        <v>330</v>
      </c>
      <c r="AF751" s="178" t="s">
        <v>191</v>
      </c>
      <c r="AG751" s="178">
        <f>INDEX(Bandwidth!$T$353:$T$369,MATCH(dataforsankey!$AH751,Bandwidth!$A$353:$A$369,0),1)-INDEX($AG$974:$AG$990,MATCH($AH751,$AH$974:$AH$990,0),1)</f>
        <v>1.9004609605610838</v>
      </c>
      <c r="AH751" s="181" t="s">
        <v>127</v>
      </c>
    </row>
    <row r="752" spans="13:34" ht="34" x14ac:dyDescent="0.2">
      <c r="M752" t="s">
        <v>330</v>
      </c>
      <c r="N752" t="s">
        <v>6</v>
      </c>
      <c r="O752" s="11">
        <f>INDEX(EndOfLife!$L$64:$P$78,MATCH(dataforsankey!$P752,EndOfLife!$A$64:$A$78,0),MATCH(dataforsankey!$N752,EndOfLife!$L$63:$P$63,0))*INDEX(EndOfLife!$B$85:$C$99,MATCH(dataforsankey!$P752,EndOfLife!$A$85:$A$99,0),MATCH(dataforsankey!$M752,EndOfLife!$B$84:$C$84,0))</f>
        <v>1.2909573077811025</v>
      </c>
      <c r="P752" t="s">
        <v>8</v>
      </c>
      <c r="S752" t="s">
        <v>872</v>
      </c>
      <c r="T752" t="s">
        <v>68</v>
      </c>
      <c r="U752" s="11">
        <f t="shared" si="59"/>
        <v>4.4622967636497122E-3</v>
      </c>
      <c r="V752" t="s">
        <v>19</v>
      </c>
      <c r="Y752" t="s">
        <v>925</v>
      </c>
      <c r="Z752" s="11" t="s">
        <v>215</v>
      </c>
      <c r="AA752" s="11">
        <f>INDEX(Bandwidth!$B$290:$T$306,MATCH(dataforsankey!$AB752,Bandwidth!$A$290:$A$306,0),MATCH(dataforsankey!$Z752,Bandwidth!$B$289:$T$289,0))</f>
        <v>0.48410952888005898</v>
      </c>
      <c r="AB752" t="s">
        <v>8</v>
      </c>
      <c r="AE752" s="11" t="s">
        <v>191</v>
      </c>
      <c r="AF752" s="11" t="s">
        <v>215</v>
      </c>
      <c r="AG752" s="11">
        <f>INDEX(Bandwidth!$B$353:$T$369,MATCH(dataforsankey!$AH752,Bandwidth!$A$290:$A$306,0),MATCH(dataforsankey!$AF752,Bandwidth!$B$289:$T$289,0))</f>
        <v>0</v>
      </c>
      <c r="AH752" s="28" t="s">
        <v>127</v>
      </c>
    </row>
    <row r="753" spans="13:34" ht="34" x14ac:dyDescent="0.2">
      <c r="M753" t="s">
        <v>330</v>
      </c>
      <c r="N753" t="s">
        <v>5</v>
      </c>
      <c r="O753" s="11">
        <f>INDEX(EndOfLife!$L$64:$P$78,MATCH(dataforsankey!$P753,EndOfLife!$A$64:$A$78,0),MATCH(dataforsankey!$N753,EndOfLife!$L$63:$P$63,0))*INDEX(EndOfLife!$B$85:$C$99,MATCH(dataforsankey!$P753,EndOfLife!$A$85:$A$99,0),MATCH(dataforsankey!$M753,EndOfLife!$B$84:$C$84,0))</f>
        <v>0.2817052549545585</v>
      </c>
      <c r="P753" t="s">
        <v>8</v>
      </c>
      <c r="S753" t="s">
        <v>872</v>
      </c>
      <c r="T753" t="s">
        <v>63</v>
      </c>
      <c r="U753" s="11">
        <f t="shared" si="59"/>
        <v>4.4622967636497122E-3</v>
      </c>
      <c r="V753" t="s">
        <v>19</v>
      </c>
      <c r="Y753" t="s">
        <v>925</v>
      </c>
      <c r="Z753" s="11" t="s">
        <v>216</v>
      </c>
      <c r="AA753" s="11">
        <f>INDEX(Bandwidth!$B$290:$T$306,MATCH(dataforsankey!$AB753,Bandwidth!$A$290:$A$306,0),MATCH(dataforsankey!$Z753,Bandwidth!$B$289:$T$289,0))</f>
        <v>0</v>
      </c>
      <c r="AB753" t="s">
        <v>8</v>
      </c>
      <c r="AE753" s="11" t="s">
        <v>191</v>
      </c>
      <c r="AF753" s="11" t="s">
        <v>216</v>
      </c>
      <c r="AG753" s="11">
        <f>INDEX(Bandwidth!$B$353:$T$369,MATCH(dataforsankey!$AH753,Bandwidth!$A$290:$A$306,0),MATCH(dataforsankey!$AF753,Bandwidth!$B$289:$T$289,0))</f>
        <v>0</v>
      </c>
      <c r="AH753" s="28" t="s">
        <v>127</v>
      </c>
    </row>
    <row r="754" spans="13:34" ht="34" x14ac:dyDescent="0.2">
      <c r="M754" t="s">
        <v>330</v>
      </c>
      <c r="N754" t="s">
        <v>358</v>
      </c>
      <c r="O754" s="11">
        <f>INDEX(EndOfLife!$L$64:$P$78,MATCH(dataforsankey!$P754,EndOfLife!$A$64:$A$78,0),MATCH(dataforsankey!$N754,EndOfLife!$L$63:$P$63,0))*INDEX(EndOfLife!$B$85:$C$99,MATCH(dataforsankey!$P754,EndOfLife!$A$85:$A$99,0),MATCH(dataforsankey!$M754,EndOfLife!$B$84:$C$84,0))</f>
        <v>0</v>
      </c>
      <c r="P754" t="s">
        <v>8</v>
      </c>
      <c r="S754" t="s">
        <v>872</v>
      </c>
      <c r="T754" t="s">
        <v>92</v>
      </c>
      <c r="U754" s="11">
        <f t="shared" si="59"/>
        <v>4.4622967636497122E-3</v>
      </c>
      <c r="V754" t="s">
        <v>19</v>
      </c>
      <c r="Y754" t="s">
        <v>925</v>
      </c>
      <c r="Z754" s="11" t="s">
        <v>217</v>
      </c>
      <c r="AA754" s="11">
        <f>INDEX(Bandwidth!$B$290:$T$306,MATCH(dataforsankey!$AB754,Bandwidth!$A$290:$A$306,0),MATCH(dataforsankey!$Z754,Bandwidth!$B$289:$T$289,0))</f>
        <v>0</v>
      </c>
      <c r="AB754" t="s">
        <v>8</v>
      </c>
      <c r="AE754" s="11" t="s">
        <v>191</v>
      </c>
      <c r="AF754" s="11" t="s">
        <v>217</v>
      </c>
      <c r="AG754" s="11">
        <f>INDEX(Bandwidth!$B$353:$T$369,MATCH(dataforsankey!$AH754,Bandwidth!$A$290:$A$306,0),MATCH(dataforsankey!$AF754,Bandwidth!$B$289:$T$289,0))</f>
        <v>1.5203687684488671</v>
      </c>
      <c r="AH754" s="28" t="s">
        <v>127</v>
      </c>
    </row>
    <row r="755" spans="13:34" ht="34" x14ac:dyDescent="0.2">
      <c r="M755" t="s">
        <v>335</v>
      </c>
      <c r="N755" t="s">
        <v>191</v>
      </c>
      <c r="O755" s="11">
        <f>INDEX(EndOfLife!$L$64:$P$78,MATCH(dataforsankey!$P755,EndOfLife!$A$64:$A$78,0),MATCH(dataforsankey!$N755,EndOfLife!$L$63:$P$63,0))*INDEX(EndOfLife!$B$85:$C$99,MATCH(dataforsankey!$P755,EndOfLife!$A$85:$A$99,0),MATCH(dataforsankey!$M755,EndOfLife!$B$84:$C$84,0))</f>
        <v>0</v>
      </c>
      <c r="P755" t="s">
        <v>8</v>
      </c>
      <c r="S755" t="s">
        <v>872</v>
      </c>
      <c r="T755" t="s">
        <v>103</v>
      </c>
      <c r="U755" s="11">
        <f t="shared" si="59"/>
        <v>0</v>
      </c>
      <c r="V755" t="s">
        <v>19</v>
      </c>
      <c r="Y755" t="s">
        <v>925</v>
      </c>
      <c r="Z755" s="11" t="s">
        <v>218</v>
      </c>
      <c r="AA755" s="11">
        <f>INDEX(Bandwidth!$B$290:$T$306,MATCH(dataforsankey!$AB755,Bandwidth!$A$290:$A$306,0),MATCH(dataforsankey!$Z755,Bandwidth!$B$289:$T$289,0))</f>
        <v>0</v>
      </c>
      <c r="AB755" t="s">
        <v>8</v>
      </c>
      <c r="AE755" s="11" t="s">
        <v>191</v>
      </c>
      <c r="AF755" s="11" t="s">
        <v>218</v>
      </c>
      <c r="AG755" s="11">
        <f>INDEX(Bandwidth!$B$353:$T$369,MATCH(dataforsankey!$AH755,Bandwidth!$A$290:$A$306,0),MATCH(dataforsankey!$AF755,Bandwidth!$B$289:$T$289,0))</f>
        <v>0</v>
      </c>
      <c r="AH755" s="28" t="s">
        <v>127</v>
      </c>
    </row>
    <row r="756" spans="13:34" ht="34" x14ac:dyDescent="0.2">
      <c r="M756" t="s">
        <v>335</v>
      </c>
      <c r="N756" t="s">
        <v>6</v>
      </c>
      <c r="O756" s="11">
        <f>INDEX(EndOfLife!$L$64:$P$78,MATCH(dataforsankey!$P756,EndOfLife!$A$64:$A$78,0),MATCH(dataforsankey!$N756,EndOfLife!$L$63:$P$63,0))*INDEX(EndOfLife!$B$85:$C$99,MATCH(dataforsankey!$P756,EndOfLife!$A$85:$A$99,0),MATCH(dataforsankey!$M756,EndOfLife!$B$84:$C$84,0))</f>
        <v>0.12909314891513193</v>
      </c>
      <c r="P756" t="s">
        <v>8</v>
      </c>
      <c r="S756" t="s">
        <v>872</v>
      </c>
      <c r="T756" t="s">
        <v>86</v>
      </c>
      <c r="U756" s="11">
        <f t="shared" si="59"/>
        <v>4.4622967636497122E-3</v>
      </c>
      <c r="V756" t="s">
        <v>19</v>
      </c>
      <c r="Y756" t="s">
        <v>925</v>
      </c>
      <c r="Z756" s="11" t="s">
        <v>219</v>
      </c>
      <c r="AA756" s="11">
        <f>INDEX(Bandwidth!$B$290:$T$306,MATCH(dataforsankey!$AB756,Bandwidth!$A$290:$A$306,0),MATCH(dataforsankey!$Z756,Bandwidth!$B$289:$T$289,0))</f>
        <v>0</v>
      </c>
      <c r="AB756" t="s">
        <v>8</v>
      </c>
      <c r="AE756" s="11" t="s">
        <v>191</v>
      </c>
      <c r="AF756" s="11" t="s">
        <v>219</v>
      </c>
      <c r="AG756" s="11">
        <f>INDEX(Bandwidth!$B$353:$T$369,MATCH(dataforsankey!$AH756,Bandwidth!$A$290:$A$306,0),MATCH(dataforsankey!$AF756,Bandwidth!$B$289:$T$289,0))</f>
        <v>0.19004609605610839</v>
      </c>
      <c r="AH756" s="28" t="s">
        <v>127</v>
      </c>
    </row>
    <row r="757" spans="13:34" ht="34" x14ac:dyDescent="0.2">
      <c r="M757" t="s">
        <v>335</v>
      </c>
      <c r="N757" t="s">
        <v>5</v>
      </c>
      <c r="O757" s="11">
        <f>INDEX(EndOfLife!$L$64:$P$78,MATCH(dataforsankey!$P757,EndOfLife!$A$64:$A$78,0),MATCH(dataforsankey!$N757,EndOfLife!$L$63:$P$63,0))*INDEX(EndOfLife!$B$85:$C$99,MATCH(dataforsankey!$P757,EndOfLife!$A$85:$A$99,0),MATCH(dataforsankey!$M757,EndOfLife!$B$84:$C$84,0))</f>
        <v>2.8169962096213925E-2</v>
      </c>
      <c r="P757" t="s">
        <v>8</v>
      </c>
      <c r="S757" t="s">
        <v>872</v>
      </c>
      <c r="T757" t="s">
        <v>18</v>
      </c>
      <c r="U757" s="11">
        <f t="shared" si="59"/>
        <v>4.4622967636497122E-3</v>
      </c>
      <c r="V757" t="s">
        <v>19</v>
      </c>
      <c r="Y757" t="s">
        <v>925</v>
      </c>
      <c r="Z757" s="11" t="s">
        <v>302</v>
      </c>
      <c r="AA757" s="11">
        <f>INDEX(Bandwidth!$B$290:$T$306,MATCH(dataforsankey!$AB757,Bandwidth!$A$290:$A$306,0),MATCH(dataforsankey!$Z757,Bandwidth!$B$289:$T$289,0))</f>
        <v>0</v>
      </c>
      <c r="AB757" t="s">
        <v>8</v>
      </c>
      <c r="AE757" s="11" t="s">
        <v>191</v>
      </c>
      <c r="AF757" s="11" t="s">
        <v>302</v>
      </c>
      <c r="AG757" s="11">
        <f>INDEX(Bandwidth!$B$353:$T$369,MATCH(dataforsankey!$AH757,Bandwidth!$A$290:$A$306,0),MATCH(dataforsankey!$AF757,Bandwidth!$B$289:$T$289,0))</f>
        <v>0</v>
      </c>
      <c r="AH757" s="28" t="s">
        <v>127</v>
      </c>
    </row>
    <row r="758" spans="13:34" ht="34" x14ac:dyDescent="0.2">
      <c r="M758" t="s">
        <v>335</v>
      </c>
      <c r="N758" t="s">
        <v>358</v>
      </c>
      <c r="O758" s="11">
        <f>INDEX(EndOfLife!$L$64:$P$78,MATCH(dataforsankey!$P758,EndOfLife!$A$64:$A$78,0),MATCH(dataforsankey!$N758,EndOfLife!$L$63:$P$63,0))*INDEX(EndOfLife!$B$85:$C$99,MATCH(dataforsankey!$P758,EndOfLife!$A$85:$A$99,0),MATCH(dataforsankey!$M758,EndOfLife!$B$84:$C$84,0))</f>
        <v>0</v>
      </c>
      <c r="P758" t="s">
        <v>8</v>
      </c>
      <c r="S758" t="s">
        <v>872</v>
      </c>
      <c r="T758" t="s">
        <v>38</v>
      </c>
      <c r="U758" s="11">
        <f t="shared" si="59"/>
        <v>8.8390798044780713E-2</v>
      </c>
      <c r="V758" t="s">
        <v>1</v>
      </c>
      <c r="Y758" t="s">
        <v>925</v>
      </c>
      <c r="Z758" s="11" t="s">
        <v>220</v>
      </c>
      <c r="AA758" s="11">
        <f>INDEX(Bandwidth!$B$290:$T$306,MATCH(dataforsankey!$AB758,Bandwidth!$A$290:$A$306,0),MATCH(dataforsankey!$Z758,Bandwidth!$B$289:$T$289,0))</f>
        <v>0</v>
      </c>
      <c r="AB758" t="s">
        <v>8</v>
      </c>
      <c r="AE758" s="11" t="s">
        <v>191</v>
      </c>
      <c r="AF758" s="11" t="s">
        <v>220</v>
      </c>
      <c r="AG758" s="11">
        <f>INDEX(Bandwidth!$B$353:$T$369,MATCH(dataforsankey!$AH758,Bandwidth!$A$290:$A$306,0),MATCH(dataforsankey!$AF758,Bandwidth!$B$289:$T$289,0))</f>
        <v>0</v>
      </c>
      <c r="AH758" s="28" t="s">
        <v>127</v>
      </c>
    </row>
    <row r="759" spans="13:34" ht="34" x14ac:dyDescent="0.2">
      <c r="M759" t="s">
        <v>330</v>
      </c>
      <c r="N759" t="s">
        <v>191</v>
      </c>
      <c r="O759" s="11">
        <f>INDEX(EndOfLife!$L$64:$P$78,MATCH(dataforsankey!$P759,EndOfLife!$A$64:$A$78,0),MATCH(dataforsankey!$N759,EndOfLife!$L$63:$P$63,0))*INDEX(EndOfLife!$B$85:$C$99,MATCH(dataforsankey!$P759,EndOfLife!$A$85:$A$99,0),MATCH(dataforsankey!$M759,EndOfLife!$B$84:$C$84,0))</f>
        <v>0</v>
      </c>
      <c r="P759" t="s">
        <v>19</v>
      </c>
      <c r="S759" t="s">
        <v>872</v>
      </c>
      <c r="T759" t="s">
        <v>99</v>
      </c>
      <c r="U759" s="11">
        <f t="shared" si="59"/>
        <v>8.8390798044780713E-2</v>
      </c>
      <c r="V759" t="s">
        <v>1</v>
      </c>
      <c r="Y759" t="s">
        <v>925</v>
      </c>
      <c r="Z759" s="11" t="s">
        <v>221</v>
      </c>
      <c r="AA759" s="11">
        <f>INDEX(Bandwidth!$B$290:$T$306,MATCH(dataforsankey!$AB759,Bandwidth!$A$290:$A$306,0),MATCH(dataforsankey!$Z759,Bandwidth!$B$289:$T$289,0))</f>
        <v>0</v>
      </c>
      <c r="AB759" t="s">
        <v>8</v>
      </c>
      <c r="AE759" s="11" t="s">
        <v>191</v>
      </c>
      <c r="AF759" s="11" t="s">
        <v>221</v>
      </c>
      <c r="AG759" s="11">
        <f>INDEX(Bandwidth!$B$353:$T$369,MATCH(dataforsankey!$AH759,Bandwidth!$A$290:$A$306,0),MATCH(dataforsankey!$AF759,Bandwidth!$B$289:$T$289,0))</f>
        <v>0</v>
      </c>
      <c r="AH759" s="28" t="s">
        <v>127</v>
      </c>
    </row>
    <row r="760" spans="13:34" ht="34" x14ac:dyDescent="0.2">
      <c r="M760" t="s">
        <v>330</v>
      </c>
      <c r="N760" t="s">
        <v>333</v>
      </c>
      <c r="O760" s="11">
        <f>INDEX(EndOfLife!$L$64:$P$78,MATCH(dataforsankey!$P760,EndOfLife!$A$64:$A$78,0),MATCH(dataforsankey!$N760,EndOfLife!$L$63:$P$63,0))*INDEX(EndOfLife!$B$85:$C$99,MATCH(dataforsankey!$P760,EndOfLife!$A$85:$A$99,0),MATCH(dataforsankey!$M760,EndOfLife!$B$84:$C$84,0))</f>
        <v>5.346278497139402E-2</v>
      </c>
      <c r="P760" t="s">
        <v>19</v>
      </c>
      <c r="S760" t="s">
        <v>872</v>
      </c>
      <c r="T760" t="s">
        <v>69</v>
      </c>
      <c r="U760" s="11">
        <f t="shared" si="59"/>
        <v>8.8390798044780713E-2</v>
      </c>
      <c r="V760" t="s">
        <v>1</v>
      </c>
      <c r="Y760" t="s">
        <v>925</v>
      </c>
      <c r="Z760" s="11" t="s">
        <v>222</v>
      </c>
      <c r="AA760" s="11">
        <f>INDEX(Bandwidth!$B$290:$T$306,MATCH(dataforsankey!$AB760,Bandwidth!$A$290:$A$306,0),MATCH(dataforsankey!$Z760,Bandwidth!$B$289:$T$289,0))</f>
        <v>1.2586847750881534</v>
      </c>
      <c r="AB760" t="s">
        <v>8</v>
      </c>
      <c r="AE760" s="11" t="s">
        <v>191</v>
      </c>
      <c r="AF760" s="11" t="s">
        <v>222</v>
      </c>
      <c r="AG760" s="11">
        <f>INDEX(Bandwidth!$B$353:$T$369,MATCH(dataforsankey!$AH760,Bandwidth!$A$290:$A$306,0),MATCH(dataforsankey!$AF760,Bandwidth!$B$289:$T$289,0))</f>
        <v>0</v>
      </c>
      <c r="AH760" s="28" t="s">
        <v>127</v>
      </c>
    </row>
    <row r="761" spans="13:34" ht="34" x14ac:dyDescent="0.2">
      <c r="M761" t="s">
        <v>330</v>
      </c>
      <c r="N761" t="s">
        <v>6</v>
      </c>
      <c r="O761" s="11">
        <f>INDEX(EndOfLife!$L$64:$P$78,MATCH(dataforsankey!$P761,EndOfLife!$A$64:$A$78,0),MATCH(dataforsankey!$N761,EndOfLife!$L$63:$P$63,0))*INDEX(EndOfLife!$B$85:$C$99,MATCH(dataforsankey!$P761,EndOfLife!$A$85:$A$99,0),MATCH(dataforsankey!$M761,EndOfLife!$B$84:$C$84,0))</f>
        <v>1.1201897216386802</v>
      </c>
      <c r="P761" t="s">
        <v>19</v>
      </c>
      <c r="S761" t="s">
        <v>872</v>
      </c>
      <c r="T761" t="s">
        <v>100</v>
      </c>
      <c r="U761" s="11">
        <f t="shared" si="59"/>
        <v>8.8390798044780713E-2</v>
      </c>
      <c r="V761" t="s">
        <v>1</v>
      </c>
      <c r="Y761" t="s">
        <v>925</v>
      </c>
      <c r="Z761" s="11" t="s">
        <v>223</v>
      </c>
      <c r="AA761" s="11">
        <f>INDEX(Bandwidth!$B$290:$T$306,MATCH(dataforsankey!$AB761,Bandwidth!$A$290:$A$306,0),MATCH(dataforsankey!$Z761,Bandwidth!$B$289:$T$289,0))</f>
        <v>0</v>
      </c>
      <c r="AB761" t="s">
        <v>8</v>
      </c>
      <c r="AE761" s="11" t="s">
        <v>191</v>
      </c>
      <c r="AF761" s="11" t="s">
        <v>223</v>
      </c>
      <c r="AG761" s="11">
        <f>INDEX(Bandwidth!$B$353:$T$369,MATCH(dataforsankey!$AH761,Bandwidth!$A$290:$A$306,0),MATCH(dataforsankey!$AF761,Bandwidth!$B$289:$T$289,0))</f>
        <v>0.19004609605610839</v>
      </c>
      <c r="AH761" s="28" t="s">
        <v>127</v>
      </c>
    </row>
    <row r="762" spans="13:34" ht="34" x14ac:dyDescent="0.2">
      <c r="M762" t="s">
        <v>330</v>
      </c>
      <c r="N762" t="s">
        <v>5</v>
      </c>
      <c r="O762" s="11">
        <f>INDEX(EndOfLife!$L$64:$P$78,MATCH(dataforsankey!$P762,EndOfLife!$A$64:$A$78,0),MATCH(dataforsankey!$N762,EndOfLife!$L$63:$P$63,0))*INDEX(EndOfLife!$B$85:$C$99,MATCH(dataforsankey!$P762,EndOfLife!$A$85:$A$99,0),MATCH(dataforsankey!$M762,EndOfLife!$B$84:$C$84,0))</f>
        <v>0.24444133762571169</v>
      </c>
      <c r="P762" t="s">
        <v>19</v>
      </c>
      <c r="S762" t="s">
        <v>872</v>
      </c>
      <c r="T762" t="s">
        <v>39</v>
      </c>
      <c r="U762" s="11">
        <f t="shared" si="59"/>
        <v>8.8390798044780713E-2</v>
      </c>
      <c r="V762" t="s">
        <v>1</v>
      </c>
      <c r="Y762" t="s">
        <v>925</v>
      </c>
      <c r="Z762" s="11" t="s">
        <v>224</v>
      </c>
      <c r="AA762" s="11">
        <f>INDEX(Bandwidth!$B$290:$T$306,MATCH(dataforsankey!$AB762,Bandwidth!$A$290:$A$306,0),MATCH(dataforsankey!$Z762,Bandwidth!$B$289:$T$289,0))</f>
        <v>0</v>
      </c>
      <c r="AB762" t="s">
        <v>8</v>
      </c>
      <c r="AE762" s="11" t="s">
        <v>191</v>
      </c>
      <c r="AF762" s="11" t="s">
        <v>224</v>
      </c>
      <c r="AG762" s="11">
        <f>INDEX(Bandwidth!$B$353:$T$369,MATCH(dataforsankey!$AH762,Bandwidth!$A$290:$A$306,0),MATCH(dataforsankey!$AF762,Bandwidth!$B$289:$T$289,0))</f>
        <v>0</v>
      </c>
      <c r="AH762" s="28" t="s">
        <v>127</v>
      </c>
    </row>
    <row r="763" spans="13:34" ht="34" x14ac:dyDescent="0.2">
      <c r="M763" t="s">
        <v>330</v>
      </c>
      <c r="N763" t="s">
        <v>358</v>
      </c>
      <c r="O763" s="11">
        <f>INDEX(EndOfLife!$L$64:$P$78,MATCH(dataforsankey!$P763,EndOfLife!$A$64:$A$78,0),MATCH(dataforsankey!$N763,EndOfLife!$L$63:$P$63,0))*INDEX(EndOfLife!$B$85:$C$99,MATCH(dataforsankey!$P763,EndOfLife!$A$85:$A$99,0),MATCH(dataforsankey!$M763,EndOfLife!$B$84:$C$84,0))</f>
        <v>0</v>
      </c>
      <c r="P763" t="s">
        <v>19</v>
      </c>
      <c r="S763" t="s">
        <v>872</v>
      </c>
      <c r="T763" t="s">
        <v>68</v>
      </c>
      <c r="U763" s="11">
        <f t="shared" si="59"/>
        <v>8.8390798044780713E-2</v>
      </c>
      <c r="V763" t="s">
        <v>1</v>
      </c>
      <c r="Y763" t="s">
        <v>925</v>
      </c>
      <c r="Z763" s="11" t="s">
        <v>225</v>
      </c>
      <c r="AA763" s="11">
        <f>INDEX(Bandwidth!$B$290:$T$306,MATCH(dataforsankey!$AB763,Bandwidth!$A$290:$A$306,0),MATCH(dataforsankey!$Z763,Bandwidth!$B$289:$T$289,0))</f>
        <v>0</v>
      </c>
      <c r="AB763" t="s">
        <v>8</v>
      </c>
      <c r="AE763" s="11" t="s">
        <v>191</v>
      </c>
      <c r="AF763" s="11" t="s">
        <v>225</v>
      </c>
      <c r="AG763" s="11">
        <f>INDEX(Bandwidth!$B$353:$T$369,MATCH(dataforsankey!$AH763,Bandwidth!$A$290:$A$306,0),MATCH(dataforsankey!$AF763,Bandwidth!$B$289:$T$289,0))</f>
        <v>0</v>
      </c>
      <c r="AH763" s="28" t="s">
        <v>127</v>
      </c>
    </row>
    <row r="764" spans="13:34" ht="34" x14ac:dyDescent="0.2">
      <c r="M764" t="s">
        <v>335</v>
      </c>
      <c r="N764" t="s">
        <v>191</v>
      </c>
      <c r="O764" s="11">
        <f>INDEX(EndOfLife!$L$64:$P$78,MATCH(dataforsankey!$P764,EndOfLife!$A$64:$A$78,0),MATCH(dataforsankey!$N764,EndOfLife!$L$63:$P$63,0))*INDEX(EndOfLife!$B$85:$C$99,MATCH(dataforsankey!$P764,EndOfLife!$A$85:$A$99,0),MATCH(dataforsankey!$M764,EndOfLife!$B$84:$C$84,0))</f>
        <v>0</v>
      </c>
      <c r="P764" t="s">
        <v>19</v>
      </c>
      <c r="S764" t="s">
        <v>872</v>
      </c>
      <c r="T764" t="s">
        <v>63</v>
      </c>
      <c r="U764" s="11">
        <f t="shared" si="59"/>
        <v>8.8390798044780713E-2</v>
      </c>
      <c r="V764" t="s">
        <v>1</v>
      </c>
      <c r="Y764" t="s">
        <v>925</v>
      </c>
      <c r="Z764" s="11" t="s">
        <v>226</v>
      </c>
      <c r="AA764" s="11">
        <f>INDEX(Bandwidth!$B$290:$T$306,MATCH(dataforsankey!$AB764,Bandwidth!$A$290:$A$306,0),MATCH(dataforsankey!$Z764,Bandwidth!$B$289:$T$289,0))</f>
        <v>0</v>
      </c>
      <c r="AB764" t="s">
        <v>8</v>
      </c>
      <c r="AE764" s="11" t="s">
        <v>191</v>
      </c>
      <c r="AF764" s="11" t="s">
        <v>226</v>
      </c>
      <c r="AG764" s="11">
        <f>INDEX(Bandwidth!$B$353:$T$369,MATCH(dataforsankey!$AH764,Bandwidth!$A$290:$A$306,0),MATCH(dataforsankey!$AF764,Bandwidth!$B$289:$T$289,0))</f>
        <v>0</v>
      </c>
      <c r="AH764" s="28" t="s">
        <v>127</v>
      </c>
    </row>
    <row r="765" spans="13:34" ht="34" x14ac:dyDescent="0.2">
      <c r="M765" t="s">
        <v>335</v>
      </c>
      <c r="N765" t="s">
        <v>6</v>
      </c>
      <c r="O765" s="11">
        <f>INDEX(EndOfLife!$L$64:$P$78,MATCH(dataforsankey!$P765,EndOfLife!$A$64:$A$78,0),MATCH(dataforsankey!$N765,EndOfLife!$L$63:$P$63,0))*INDEX(EndOfLife!$B$85:$C$99,MATCH(dataforsankey!$P765,EndOfLife!$A$85:$A$99,0),MATCH(dataforsankey!$M765,EndOfLife!$B$84:$C$84,0))</f>
        <v>0.11201673182923143</v>
      </c>
      <c r="P765" t="s">
        <v>19</v>
      </c>
      <c r="S765" t="s">
        <v>872</v>
      </c>
      <c r="T765" t="s">
        <v>92</v>
      </c>
      <c r="U765" s="11">
        <f t="shared" si="59"/>
        <v>8.8390798044780713E-2</v>
      </c>
      <c r="V765" t="s">
        <v>1</v>
      </c>
      <c r="Y765" t="s">
        <v>925</v>
      </c>
      <c r="Z765" s="11" t="s">
        <v>279</v>
      </c>
      <c r="AA765" s="11">
        <f>INDEX(Bandwidth!$B$290:$T$306,MATCH(dataforsankey!$AB765,Bandwidth!$A$290:$A$306,0),MATCH(dataforsankey!$Z765,Bandwidth!$B$289:$T$289,0))</f>
        <v>0</v>
      </c>
      <c r="AB765" t="s">
        <v>8</v>
      </c>
      <c r="AE765" s="11" t="s">
        <v>191</v>
      </c>
      <c r="AF765" s="11" t="s">
        <v>279</v>
      </c>
      <c r="AG765" s="11">
        <f>INDEX(Bandwidth!$B$353:$T$369,MATCH(dataforsankey!$AH765,Bandwidth!$A$290:$A$306,0),MATCH(dataforsankey!$AF765,Bandwidth!$B$289:$T$289,0))</f>
        <v>0</v>
      </c>
      <c r="AH765" s="28" t="s">
        <v>127</v>
      </c>
    </row>
    <row r="766" spans="13:34" ht="17" x14ac:dyDescent="0.2">
      <c r="M766" t="s">
        <v>335</v>
      </c>
      <c r="N766" t="s">
        <v>5</v>
      </c>
      <c r="O766" s="11">
        <f>INDEX(EndOfLife!$L$64:$P$78,MATCH(dataforsankey!$P766,EndOfLife!$A$64:$A$78,0),MATCH(dataforsankey!$N766,EndOfLife!$L$63:$P$63,0))*INDEX(EndOfLife!$B$85:$C$99,MATCH(dataforsankey!$P766,EndOfLife!$A$85:$A$99,0),MATCH(dataforsankey!$M766,EndOfLife!$B$84:$C$84,0))</f>
        <v>2.4443644889673374E-2</v>
      </c>
      <c r="P766" t="s">
        <v>19</v>
      </c>
      <c r="S766" t="s">
        <v>872</v>
      </c>
      <c r="T766" t="s">
        <v>103</v>
      </c>
      <c r="U766" s="11">
        <f t="shared" si="59"/>
        <v>0</v>
      </c>
      <c r="V766" t="s">
        <v>1</v>
      </c>
      <c r="Y766" t="s">
        <v>330</v>
      </c>
      <c r="Z766" s="11" t="s">
        <v>6</v>
      </c>
      <c r="AA766" s="11">
        <f>INDEX(Bandwidth!$B$290:$T$306,MATCH(dataforsankey!$AB766,Bandwidth!$A$290:$A$306,0),MATCH(dataforsankey!$Z766,Bandwidth!$B$289:$T$289,0))</f>
        <v>0</v>
      </c>
      <c r="AB766" t="s">
        <v>19</v>
      </c>
      <c r="AE766" t="s">
        <v>330</v>
      </c>
      <c r="AF766" s="11" t="s">
        <v>6</v>
      </c>
      <c r="AG766" s="11">
        <f>INDEX(Bandwidth!$B$353:$T$369,MATCH(dataforsankey!$AH766,Bandwidth!$A$290:$A$306,0),MATCH(dataforsankey!$AF766,Bandwidth!$B$289:$T$289,0))</f>
        <v>0</v>
      </c>
      <c r="AH766" s="28" t="s">
        <v>1</v>
      </c>
    </row>
    <row r="767" spans="13:34" ht="17" x14ac:dyDescent="0.2">
      <c r="M767" t="s">
        <v>335</v>
      </c>
      <c r="N767" t="s">
        <v>358</v>
      </c>
      <c r="O767" s="11">
        <f>INDEX(EndOfLife!$L$64:$P$78,MATCH(dataforsankey!$P767,EndOfLife!$A$64:$A$78,0),MATCH(dataforsankey!$N767,EndOfLife!$L$63:$P$63,0))*INDEX(EndOfLife!$B$85:$C$99,MATCH(dataforsankey!$P767,EndOfLife!$A$85:$A$99,0),MATCH(dataforsankey!$M767,EndOfLife!$B$84:$C$84,0))</f>
        <v>0</v>
      </c>
      <c r="P767" t="s">
        <v>19</v>
      </c>
      <c r="S767" t="s">
        <v>872</v>
      </c>
      <c r="T767" t="s">
        <v>86</v>
      </c>
      <c r="U767" s="11">
        <f t="shared" si="59"/>
        <v>8.8390798044780713E-2</v>
      </c>
      <c r="V767" t="s">
        <v>1</v>
      </c>
      <c r="Y767" t="s">
        <v>925</v>
      </c>
      <c r="Z767" s="11" t="s">
        <v>213</v>
      </c>
      <c r="AA767" s="11">
        <v>0</v>
      </c>
      <c r="AB767" t="s">
        <v>19</v>
      </c>
      <c r="AE767" s="177" t="s">
        <v>330</v>
      </c>
      <c r="AF767" s="178" t="s">
        <v>191</v>
      </c>
      <c r="AG767" s="178">
        <f>INDEX(Bandwidth!$T$353:$T$369,MATCH(dataforsankey!$AH767,Bandwidth!$A$353:$A$369,0),1)-INDEX($AG$974:$AG$990,MATCH($AH767,$AH$974:$AH$990,0),1)</f>
        <v>2.050603391915836</v>
      </c>
      <c r="AH767" s="181" t="s">
        <v>1</v>
      </c>
    </row>
    <row r="768" spans="13:34" ht="17" x14ac:dyDescent="0.2">
      <c r="M768" t="s">
        <v>330</v>
      </c>
      <c r="N768" t="s">
        <v>191</v>
      </c>
      <c r="O768" s="11">
        <f>INDEX(EndOfLife!$L$64:$P$78,MATCH(dataforsankey!$P768,EndOfLife!$A$64:$A$78,0),MATCH(dataforsankey!$N768,EndOfLife!$L$63:$P$63,0))*INDEX(EndOfLife!$B$85:$C$99,MATCH(dataforsankey!$P768,EndOfLife!$A$85:$A$99,0),MATCH(dataforsankey!$M768,EndOfLife!$B$84:$C$84,0))</f>
        <v>0.25583514345243025</v>
      </c>
      <c r="P768" t="s">
        <v>1</v>
      </c>
      <c r="S768" t="s">
        <v>872</v>
      </c>
      <c r="T768" t="s">
        <v>18</v>
      </c>
      <c r="U768" s="11">
        <f t="shared" si="59"/>
        <v>8.8390798044780713E-2</v>
      </c>
      <c r="V768" t="s">
        <v>1</v>
      </c>
      <c r="Y768" t="s">
        <v>925</v>
      </c>
      <c r="Z768" s="11" t="s">
        <v>215</v>
      </c>
      <c r="AA768" s="11">
        <f>INDEX(Bandwidth!$B$290:$T$306,MATCH(dataforsankey!$AB768,Bandwidth!$A$290:$A$306,0),MATCH(dataforsankey!$Z768,Bandwidth!$B$289:$T$289,0))</f>
        <v>0.42007161284898081</v>
      </c>
      <c r="AB768" t="s">
        <v>19</v>
      </c>
      <c r="AE768" s="11" t="s">
        <v>191</v>
      </c>
      <c r="AF768" s="11" t="s">
        <v>215</v>
      </c>
      <c r="AG768" s="11">
        <f>INDEX(Bandwidth!$B$353:$T$369,MATCH(dataforsankey!$AH768,Bandwidth!$A$290:$A$306,0),MATCH(dataforsankey!$AF768,Bandwidth!$B$289:$T$289,0))</f>
        <v>2.3497989510357531</v>
      </c>
      <c r="AH768" s="28" t="s">
        <v>1</v>
      </c>
    </row>
    <row r="769" spans="13:34" ht="17" x14ac:dyDescent="0.2">
      <c r="M769" t="s">
        <v>330</v>
      </c>
      <c r="N769" t="s">
        <v>333</v>
      </c>
      <c r="O769" s="11">
        <f>INDEX(EndOfLife!$L$64:$P$78,MATCH(dataforsankey!$P769,EndOfLife!$A$64:$A$78,0),MATCH(dataforsankey!$N769,EndOfLife!$L$63:$P$63,0))*INDEX(EndOfLife!$B$85:$C$99,MATCH(dataforsankey!$P769,EndOfLife!$A$85:$A$99,0),MATCH(dataforsankey!$M769,EndOfLife!$B$84:$C$84,0))</f>
        <v>7.4765106830960479E-2</v>
      </c>
      <c r="P769" t="s">
        <v>1</v>
      </c>
      <c r="S769" t="s">
        <v>872</v>
      </c>
      <c r="T769" t="s">
        <v>38</v>
      </c>
      <c r="U769" s="11">
        <f t="shared" si="59"/>
        <v>2.0411321201018937E-2</v>
      </c>
      <c r="V769" t="s">
        <v>10</v>
      </c>
      <c r="Y769" t="s">
        <v>925</v>
      </c>
      <c r="Z769" s="11" t="s">
        <v>216</v>
      </c>
      <c r="AA769" s="11">
        <f>INDEX(Bandwidth!$B$290:$T$306,MATCH(dataforsankey!$AB769,Bandwidth!$A$290:$A$306,0),MATCH(dataforsankey!$Z769,Bandwidth!$B$289:$T$289,0))</f>
        <v>0</v>
      </c>
      <c r="AB769" t="s">
        <v>19</v>
      </c>
      <c r="AE769" s="11" t="s">
        <v>191</v>
      </c>
      <c r="AF769" s="11" t="s">
        <v>216</v>
      </c>
      <c r="AG769" s="11">
        <f>INDEX(Bandwidth!$B$353:$T$369,MATCH(dataforsankey!$AH769,Bandwidth!$A$290:$A$306,0),MATCH(dataforsankey!$AF769,Bandwidth!$B$289:$T$289,0))</f>
        <v>0</v>
      </c>
      <c r="AH769" s="28" t="s">
        <v>1</v>
      </c>
    </row>
    <row r="770" spans="13:34" ht="17" x14ac:dyDescent="0.2">
      <c r="M770" t="s">
        <v>330</v>
      </c>
      <c r="N770" t="s">
        <v>6</v>
      </c>
      <c r="O770" s="11">
        <f>INDEX(EndOfLife!$L$64:$P$78,MATCH(dataforsankey!$P770,EndOfLife!$A$64:$A$78,0),MATCH(dataforsankey!$N770,EndOfLife!$L$63:$P$63,0))*INDEX(EndOfLife!$B$85:$C$99,MATCH(dataforsankey!$P770,EndOfLife!$A$85:$A$99,0),MATCH(dataforsankey!$M770,EndOfLife!$B$84:$C$84,0))</f>
        <v>1.4812796725850477</v>
      </c>
      <c r="P770" t="s">
        <v>1</v>
      </c>
      <c r="S770" t="s">
        <v>872</v>
      </c>
      <c r="T770" t="s">
        <v>99</v>
      </c>
      <c r="U770" s="11">
        <f t="shared" si="59"/>
        <v>2.0411321201018937E-2</v>
      </c>
      <c r="V770" t="s">
        <v>10</v>
      </c>
      <c r="Y770" t="s">
        <v>925</v>
      </c>
      <c r="Z770" s="11" t="s">
        <v>217</v>
      </c>
      <c r="AA770" s="11">
        <f>INDEX(Bandwidth!$B$290:$T$306,MATCH(dataforsankey!$AB770,Bandwidth!$A$290:$A$306,0),MATCH(dataforsankey!$Z770,Bandwidth!$B$289:$T$289,0))</f>
        <v>0</v>
      </c>
      <c r="AB770" t="s">
        <v>19</v>
      </c>
      <c r="AE770" s="11" t="s">
        <v>191</v>
      </c>
      <c r="AF770" s="11" t="s">
        <v>217</v>
      </c>
      <c r="AG770" s="11">
        <f>INDEX(Bandwidth!$B$353:$T$369,MATCH(dataforsankey!$AH770,Bandwidth!$A$290:$A$306,0),MATCH(dataforsankey!$AF770,Bandwidth!$B$289:$T$289,0))</f>
        <v>0</v>
      </c>
      <c r="AH770" s="28" t="s">
        <v>1</v>
      </c>
    </row>
    <row r="771" spans="13:34" ht="17" x14ac:dyDescent="0.2">
      <c r="M771" t="s">
        <v>330</v>
      </c>
      <c r="N771" t="s">
        <v>5</v>
      </c>
      <c r="O771" s="11">
        <f>INDEX(EndOfLife!$L$64:$P$78,MATCH(dataforsankey!$P771,EndOfLife!$A$64:$A$78,0),MATCH(dataforsankey!$N771,EndOfLife!$L$63:$P$63,0))*INDEX(EndOfLife!$B$85:$C$99,MATCH(dataforsankey!$P771,EndOfLife!$A$85:$A$99,0),MATCH(dataforsankey!$M771,EndOfLife!$B$84:$C$84,0))</f>
        <v>0.32430482560411122</v>
      </c>
      <c r="P771" t="s">
        <v>1</v>
      </c>
      <c r="S771" t="s">
        <v>872</v>
      </c>
      <c r="T771" t="s">
        <v>69</v>
      </c>
      <c r="U771" s="11">
        <f t="shared" si="59"/>
        <v>2.0411321201018937E-2</v>
      </c>
      <c r="V771" t="s">
        <v>10</v>
      </c>
      <c r="Y771" t="s">
        <v>925</v>
      </c>
      <c r="Z771" s="11" t="s">
        <v>218</v>
      </c>
      <c r="AA771" s="11">
        <f>INDEX(Bandwidth!$B$290:$T$306,MATCH(dataforsankey!$AB771,Bandwidth!$A$290:$A$306,0),MATCH(dataforsankey!$Z771,Bandwidth!$B$289:$T$289,0))</f>
        <v>0</v>
      </c>
      <c r="AB771" t="s">
        <v>19</v>
      </c>
      <c r="AE771" s="11" t="s">
        <v>191</v>
      </c>
      <c r="AF771" s="11" t="s">
        <v>218</v>
      </c>
      <c r="AG771" s="11">
        <f>INDEX(Bandwidth!$B$353:$T$369,MATCH(dataforsankey!$AH771,Bandwidth!$A$290:$A$306,0),MATCH(dataforsankey!$AF771,Bandwidth!$B$289:$T$289,0))</f>
        <v>0</v>
      </c>
      <c r="AH771" s="28" t="s">
        <v>1</v>
      </c>
    </row>
    <row r="772" spans="13:34" ht="17" x14ac:dyDescent="0.2">
      <c r="M772" t="s">
        <v>330</v>
      </c>
      <c r="N772" t="s">
        <v>358</v>
      </c>
      <c r="O772" s="11">
        <f>INDEX(EndOfLife!$L$64:$P$78,MATCH(dataforsankey!$P772,EndOfLife!$A$64:$A$78,0),MATCH(dataforsankey!$N772,EndOfLife!$L$63:$P$63,0))*INDEX(EndOfLife!$B$85:$C$99,MATCH(dataforsankey!$P772,EndOfLife!$A$85:$A$99,0),MATCH(dataforsankey!$M772,EndOfLife!$B$84:$C$84,0))</f>
        <v>0</v>
      </c>
      <c r="P772" t="s">
        <v>1</v>
      </c>
      <c r="S772" t="s">
        <v>872</v>
      </c>
      <c r="T772" t="s">
        <v>100</v>
      </c>
      <c r="U772" s="11">
        <f t="shared" si="59"/>
        <v>2.0411321201018937E-2</v>
      </c>
      <c r="V772" t="s">
        <v>10</v>
      </c>
      <c r="Y772" t="s">
        <v>925</v>
      </c>
      <c r="Z772" s="11" t="s">
        <v>219</v>
      </c>
      <c r="AA772" s="11">
        <f>INDEX(Bandwidth!$B$290:$T$306,MATCH(dataforsankey!$AB772,Bandwidth!$A$290:$A$306,0),MATCH(dataforsankey!$Z772,Bandwidth!$B$289:$T$289,0))</f>
        <v>0</v>
      </c>
      <c r="AB772" t="s">
        <v>19</v>
      </c>
      <c r="AE772" s="11" t="s">
        <v>191</v>
      </c>
      <c r="AF772" s="11" t="s">
        <v>219</v>
      </c>
      <c r="AG772" s="11">
        <f>INDEX(Bandwidth!$B$353:$T$369,MATCH(dataforsankey!$AH772,Bandwidth!$A$290:$A$306,0),MATCH(dataforsankey!$AF772,Bandwidth!$B$289:$T$289,0))</f>
        <v>0</v>
      </c>
      <c r="AH772" s="28" t="s">
        <v>1</v>
      </c>
    </row>
    <row r="773" spans="13:34" ht="17" x14ac:dyDescent="0.2">
      <c r="M773" t="s">
        <v>335</v>
      </c>
      <c r="N773" t="s">
        <v>191</v>
      </c>
      <c r="O773" s="11">
        <f>INDEX(EndOfLife!$L$64:$P$78,MATCH(dataforsankey!$P773,EndOfLife!$A$64:$A$78,0),MATCH(dataforsankey!$N773,EndOfLife!$L$63:$P$63,0))*INDEX(EndOfLife!$B$85:$C$99,MATCH(dataforsankey!$P773,EndOfLife!$A$85:$A$99,0),MATCH(dataforsankey!$M773,EndOfLife!$B$84:$C$84,0))</f>
        <v>2.5583002685189319E-2</v>
      </c>
      <c r="P773" t="s">
        <v>1</v>
      </c>
      <c r="S773" t="s">
        <v>872</v>
      </c>
      <c r="T773" t="s">
        <v>39</v>
      </c>
      <c r="U773" s="11">
        <f t="shared" si="59"/>
        <v>2.0411321201018937E-2</v>
      </c>
      <c r="V773" t="s">
        <v>10</v>
      </c>
      <c r="Y773" t="s">
        <v>925</v>
      </c>
      <c r="Z773" s="11" t="s">
        <v>302</v>
      </c>
      <c r="AA773" s="11">
        <f>INDEX(Bandwidth!$B$290:$T$306,MATCH(dataforsankey!$AB773,Bandwidth!$A$290:$A$306,0),MATCH(dataforsankey!$Z773,Bandwidth!$B$289:$T$289,0))</f>
        <v>0</v>
      </c>
      <c r="AB773" t="s">
        <v>19</v>
      </c>
      <c r="AE773" s="11" t="s">
        <v>191</v>
      </c>
      <c r="AF773" s="11" t="s">
        <v>302</v>
      </c>
      <c r="AG773" s="11">
        <f>INDEX(Bandwidth!$B$353:$T$369,MATCH(dataforsankey!$AH773,Bandwidth!$A$290:$A$306,0),MATCH(dataforsankey!$AF773,Bandwidth!$B$289:$T$289,0))</f>
        <v>0</v>
      </c>
      <c r="AH773" s="28" t="s">
        <v>1</v>
      </c>
    </row>
    <row r="774" spans="13:34" ht="17" x14ac:dyDescent="0.2">
      <c r="M774" t="s">
        <v>335</v>
      </c>
      <c r="N774" t="s">
        <v>6</v>
      </c>
      <c r="O774" s="11">
        <f>INDEX(EndOfLife!$L$64:$P$78,MATCH(dataforsankey!$P774,EndOfLife!$A$64:$A$78,0),MATCH(dataforsankey!$N774,EndOfLife!$L$63:$P$63,0))*INDEX(EndOfLife!$B$85:$C$99,MATCH(dataforsankey!$P774,EndOfLife!$A$85:$A$99,0),MATCH(dataforsankey!$M774,EndOfLife!$B$84:$C$84,0))</f>
        <v>0.14812500475840959</v>
      </c>
      <c r="P774" t="s">
        <v>1</v>
      </c>
      <c r="S774" t="s">
        <v>872</v>
      </c>
      <c r="T774" t="s">
        <v>68</v>
      </c>
      <c r="U774" s="11">
        <f t="shared" si="59"/>
        <v>2.0411321201018937E-2</v>
      </c>
      <c r="V774" t="s">
        <v>10</v>
      </c>
      <c r="Y774" t="s">
        <v>925</v>
      </c>
      <c r="Z774" s="11" t="s">
        <v>220</v>
      </c>
      <c r="AA774" s="11">
        <f>INDEX(Bandwidth!$B$290:$T$306,MATCH(dataforsankey!$AB774,Bandwidth!$A$290:$A$306,0),MATCH(dataforsankey!$Z774,Bandwidth!$B$289:$T$289,0))</f>
        <v>0</v>
      </c>
      <c r="AB774" t="s">
        <v>19</v>
      </c>
      <c r="AE774" s="11" t="s">
        <v>191</v>
      </c>
      <c r="AF774" s="11" t="s">
        <v>220</v>
      </c>
      <c r="AG774" s="11">
        <f>INDEX(Bandwidth!$B$353:$T$369,MATCH(dataforsankey!$AH774,Bandwidth!$A$290:$A$306,0),MATCH(dataforsankey!$AF774,Bandwidth!$B$289:$T$289,0))</f>
        <v>0</v>
      </c>
      <c r="AH774" s="28" t="s">
        <v>1</v>
      </c>
    </row>
    <row r="775" spans="13:34" ht="17" x14ac:dyDescent="0.2">
      <c r="M775" t="s">
        <v>335</v>
      </c>
      <c r="N775" t="s">
        <v>5</v>
      </c>
      <c r="O775" s="11">
        <f>INDEX(EndOfLife!$L$64:$P$78,MATCH(dataforsankey!$P775,EndOfLife!$A$64:$A$78,0),MATCH(dataforsankey!$N775,EndOfLife!$L$63:$P$63,0))*INDEX(EndOfLife!$B$85:$C$99,MATCH(dataforsankey!$P775,EndOfLife!$A$85:$A$99,0),MATCH(dataforsankey!$M775,EndOfLife!$B$84:$C$84,0))</f>
        <v>3.2429833963731843E-2</v>
      </c>
      <c r="P775" t="s">
        <v>1</v>
      </c>
      <c r="S775" t="s">
        <v>872</v>
      </c>
      <c r="T775" t="s">
        <v>63</v>
      </c>
      <c r="U775" s="11">
        <f t="shared" si="59"/>
        <v>2.0411321201018937E-2</v>
      </c>
      <c r="V775" t="s">
        <v>10</v>
      </c>
      <c r="Y775" t="s">
        <v>925</v>
      </c>
      <c r="Z775" s="11" t="s">
        <v>221</v>
      </c>
      <c r="AA775" s="11">
        <f>INDEX(Bandwidth!$B$290:$T$306,MATCH(dataforsankey!$AB775,Bandwidth!$A$290:$A$306,0),MATCH(dataforsankey!$Z775,Bandwidth!$B$289:$T$289,0))</f>
        <v>0</v>
      </c>
      <c r="AB775" t="s">
        <v>19</v>
      </c>
      <c r="AE775" s="11" t="s">
        <v>191</v>
      </c>
      <c r="AF775" s="11" t="s">
        <v>221</v>
      </c>
      <c r="AG775" s="11">
        <f>INDEX(Bandwidth!$B$353:$T$369,MATCH(dataforsankey!$AH775,Bandwidth!$A$290:$A$306,0),MATCH(dataforsankey!$AF775,Bandwidth!$B$289:$T$289,0))</f>
        <v>0</v>
      </c>
      <c r="AH775" s="28" t="s">
        <v>1</v>
      </c>
    </row>
    <row r="776" spans="13:34" ht="17" x14ac:dyDescent="0.2">
      <c r="M776" t="s">
        <v>335</v>
      </c>
      <c r="N776" t="s">
        <v>358</v>
      </c>
      <c r="O776" s="11">
        <f>INDEX(EndOfLife!$L$64:$P$78,MATCH(dataforsankey!$P776,EndOfLife!$A$64:$A$78,0),MATCH(dataforsankey!$N776,EndOfLife!$L$63:$P$63,0))*INDEX(EndOfLife!$B$85:$C$99,MATCH(dataforsankey!$P776,EndOfLife!$A$85:$A$99,0),MATCH(dataforsankey!$M776,EndOfLife!$B$84:$C$84,0))</f>
        <v>0</v>
      </c>
      <c r="P776" t="s">
        <v>1</v>
      </c>
      <c r="S776" t="s">
        <v>872</v>
      </c>
      <c r="T776" t="s">
        <v>92</v>
      </c>
      <c r="U776" s="11">
        <f t="shared" si="59"/>
        <v>2.0411321201018937E-2</v>
      </c>
      <c r="V776" t="s">
        <v>10</v>
      </c>
      <c r="Y776" t="s">
        <v>925</v>
      </c>
      <c r="Z776" s="11" t="s">
        <v>222</v>
      </c>
      <c r="AA776" s="11">
        <f>INDEX(Bandwidth!$B$290:$T$306,MATCH(dataforsankey!$AB776,Bandwidth!$A$290:$A$306,0),MATCH(dataforsankey!$Z776,Bandwidth!$B$289:$T$289,0))</f>
        <v>1.0921861934073502</v>
      </c>
      <c r="AB776" t="s">
        <v>19</v>
      </c>
      <c r="AE776" s="11" t="s">
        <v>191</v>
      </c>
      <c r="AF776" s="11" t="s">
        <v>222</v>
      </c>
      <c r="AG776" s="11">
        <f>INDEX(Bandwidth!$B$353:$T$369,MATCH(dataforsankey!$AH776,Bandwidth!$A$290:$A$306,0),MATCH(dataforsankey!$AF776,Bandwidth!$B$289:$T$289,0))</f>
        <v>0</v>
      </c>
      <c r="AH776" s="28" t="s">
        <v>1</v>
      </c>
    </row>
    <row r="777" spans="13:34" ht="17" x14ac:dyDescent="0.2">
      <c r="M777" t="s">
        <v>330</v>
      </c>
      <c r="N777" t="s">
        <v>191</v>
      </c>
      <c r="O777" s="11">
        <f>INDEX(EndOfLife!$L$64:$P$78,MATCH(dataforsankey!$P777,EndOfLife!$A$64:$A$78,0),MATCH(dataforsankey!$N777,EndOfLife!$L$63:$P$63,0))*INDEX(EndOfLife!$B$85:$C$99,MATCH(dataforsankey!$P777,EndOfLife!$A$85:$A$99,0),MATCH(dataforsankey!$M777,EndOfLife!$B$84:$C$84,0))</f>
        <v>1.3465387883391803E-2</v>
      </c>
      <c r="P777" t="s">
        <v>10</v>
      </c>
      <c r="S777" t="s">
        <v>872</v>
      </c>
      <c r="T777" t="s">
        <v>103</v>
      </c>
      <c r="U777" s="11">
        <f t="shared" si="59"/>
        <v>0</v>
      </c>
      <c r="V777" t="s">
        <v>10</v>
      </c>
      <c r="Y777" t="s">
        <v>925</v>
      </c>
      <c r="Z777" s="11" t="s">
        <v>223</v>
      </c>
      <c r="AA777" s="11">
        <f>INDEX(Bandwidth!$B$290:$T$306,MATCH(dataforsankey!$AB777,Bandwidth!$A$290:$A$306,0),MATCH(dataforsankey!$Z777,Bandwidth!$B$289:$T$289,0))</f>
        <v>0</v>
      </c>
      <c r="AB777" t="s">
        <v>19</v>
      </c>
      <c r="AE777" s="11" t="s">
        <v>191</v>
      </c>
      <c r="AF777" s="11" t="s">
        <v>223</v>
      </c>
      <c r="AG777" s="11">
        <f>INDEX(Bandwidth!$B$353:$T$369,MATCH(dataforsankey!$AH777,Bandwidth!$A$290:$A$306,0),MATCH(dataforsankey!$AF777,Bandwidth!$B$289:$T$289,0))</f>
        <v>0</v>
      </c>
      <c r="AH777" s="28" t="s">
        <v>1</v>
      </c>
    </row>
    <row r="778" spans="13:34" ht="17" x14ac:dyDescent="0.2">
      <c r="M778" t="s">
        <v>330</v>
      </c>
      <c r="N778" t="s">
        <v>333</v>
      </c>
      <c r="O778" s="11">
        <f>INDEX(EndOfLife!$L$64:$P$78,MATCH(dataforsankey!$P778,EndOfLife!$A$64:$A$78,0),MATCH(dataforsankey!$N778,EndOfLife!$L$63:$P$63,0))*INDEX(EndOfLife!$B$85:$C$99,MATCH(dataforsankey!$P778,EndOfLife!$A$85:$A$99,0),MATCH(dataforsankey!$M778,EndOfLife!$B$84:$C$84,0))</f>
        <v>5.7510888377564497E-2</v>
      </c>
      <c r="P778" t="s">
        <v>10</v>
      </c>
      <c r="S778" t="s">
        <v>872</v>
      </c>
      <c r="T778" t="s">
        <v>86</v>
      </c>
      <c r="U778" s="11">
        <f t="shared" si="59"/>
        <v>2.0411321201018937E-2</v>
      </c>
      <c r="V778" t="s">
        <v>10</v>
      </c>
      <c r="Y778" t="s">
        <v>925</v>
      </c>
      <c r="Z778" s="11" t="s">
        <v>224</v>
      </c>
      <c r="AA778" s="11">
        <f>INDEX(Bandwidth!$B$290:$T$306,MATCH(dataforsankey!$AB778,Bandwidth!$A$290:$A$306,0),MATCH(dataforsankey!$Z778,Bandwidth!$B$289:$T$289,0))</f>
        <v>0</v>
      </c>
      <c r="AB778" t="s">
        <v>19</v>
      </c>
      <c r="AE778" s="11" t="s">
        <v>191</v>
      </c>
      <c r="AF778" s="11" t="s">
        <v>224</v>
      </c>
      <c r="AG778" s="11">
        <f>INDEX(Bandwidth!$B$353:$T$369,MATCH(dataforsankey!$AH778,Bandwidth!$A$290:$A$306,0),MATCH(dataforsankey!$AF778,Bandwidth!$B$289:$T$289,0))</f>
        <v>0</v>
      </c>
      <c r="AH778" s="28" t="s">
        <v>1</v>
      </c>
    </row>
    <row r="779" spans="13:34" ht="17" x14ac:dyDescent="0.2">
      <c r="M779" t="s">
        <v>330</v>
      </c>
      <c r="N779" t="s">
        <v>6</v>
      </c>
      <c r="O779" s="11">
        <f>INDEX(EndOfLife!$L$64:$P$78,MATCH(dataforsankey!$P779,EndOfLife!$A$64:$A$78,0),MATCH(dataforsankey!$N779,EndOfLife!$L$63:$P$63,0))*INDEX(EndOfLife!$B$85:$C$99,MATCH(dataforsankey!$P779,EndOfLife!$A$85:$A$99,0),MATCH(dataforsankey!$M779,EndOfLife!$B$84:$C$84,0))</f>
        <v>1.3412062780097591</v>
      </c>
      <c r="P779" t="s">
        <v>10</v>
      </c>
      <c r="S779" t="s">
        <v>872</v>
      </c>
      <c r="T779" t="s">
        <v>18</v>
      </c>
      <c r="U779" s="11">
        <f t="shared" si="59"/>
        <v>2.0411321201018937E-2</v>
      </c>
      <c r="V779" t="s">
        <v>10</v>
      </c>
      <c r="Y779" t="s">
        <v>925</v>
      </c>
      <c r="Z779" s="11" t="s">
        <v>225</v>
      </c>
      <c r="AA779" s="11">
        <f>INDEX(Bandwidth!$B$290:$T$306,MATCH(dataforsankey!$AB779,Bandwidth!$A$290:$A$306,0),MATCH(dataforsankey!$Z779,Bandwidth!$B$289:$T$289,0))</f>
        <v>0</v>
      </c>
      <c r="AB779" t="s">
        <v>19</v>
      </c>
      <c r="AE779" s="11" t="s">
        <v>191</v>
      </c>
      <c r="AF779" s="11" t="s">
        <v>225</v>
      </c>
      <c r="AG779" s="11">
        <f>INDEX(Bandwidth!$B$353:$T$369,MATCH(dataforsankey!$AH779,Bandwidth!$A$290:$A$306,0),MATCH(dataforsankey!$AF779,Bandwidth!$B$289:$T$289,0))</f>
        <v>0</v>
      </c>
      <c r="AH779" s="28" t="s">
        <v>1</v>
      </c>
    </row>
    <row r="780" spans="13:34" ht="17" x14ac:dyDescent="0.2">
      <c r="M780" t="s">
        <v>330</v>
      </c>
      <c r="N780" t="s">
        <v>5</v>
      </c>
      <c r="O780" s="11">
        <f>INDEX(EndOfLife!$L$64:$P$78,MATCH(dataforsankey!$P780,EndOfLife!$A$64:$A$78,0),MATCH(dataforsankey!$N780,EndOfLife!$L$63:$P$63,0))*INDEX(EndOfLife!$B$85:$C$99,MATCH(dataforsankey!$P780,EndOfLife!$A$85:$A$99,0),MATCH(dataforsankey!$M780,EndOfLife!$B$84:$C$84,0))</f>
        <v>0.23101556087444064</v>
      </c>
      <c r="P780" t="s">
        <v>10</v>
      </c>
      <c r="S780" t="s">
        <v>872</v>
      </c>
      <c r="T780" t="s">
        <v>38</v>
      </c>
      <c r="U780" s="11">
        <f t="shared" si="59"/>
        <v>5.208942626728095E-3</v>
      </c>
      <c r="V780" t="s">
        <v>11</v>
      </c>
      <c r="Y780" t="s">
        <v>925</v>
      </c>
      <c r="Z780" s="11" t="s">
        <v>226</v>
      </c>
      <c r="AA780" s="11">
        <f>INDEX(Bandwidth!$B$290:$T$306,MATCH(dataforsankey!$AB780,Bandwidth!$A$290:$A$306,0),MATCH(dataforsankey!$Z780,Bandwidth!$B$289:$T$289,0))</f>
        <v>0</v>
      </c>
      <c r="AB780" t="s">
        <v>19</v>
      </c>
      <c r="AE780" s="11" t="s">
        <v>191</v>
      </c>
      <c r="AF780" s="11" t="s">
        <v>226</v>
      </c>
      <c r="AG780" s="11">
        <f>INDEX(Bandwidth!$B$353:$T$369,MATCH(dataforsankey!$AH780,Bandwidth!$A$290:$A$306,0),MATCH(dataforsankey!$AF780,Bandwidth!$B$289:$T$289,0))</f>
        <v>0</v>
      </c>
      <c r="AH780" s="28" t="s">
        <v>1</v>
      </c>
    </row>
    <row r="781" spans="13:34" ht="17" x14ac:dyDescent="0.2">
      <c r="M781" t="s">
        <v>330</v>
      </c>
      <c r="N781" t="s">
        <v>358</v>
      </c>
      <c r="O781" s="11">
        <f>INDEX(EndOfLife!$L$64:$P$78,MATCH(dataforsankey!$P781,EndOfLife!$A$64:$A$78,0),MATCH(dataforsankey!$N781,EndOfLife!$L$63:$P$63,0))*INDEX(EndOfLife!$B$85:$C$99,MATCH(dataforsankey!$P781,EndOfLife!$A$85:$A$99,0),MATCH(dataforsankey!$M781,EndOfLife!$B$84:$C$84,0))</f>
        <v>0</v>
      </c>
      <c r="P781" t="s">
        <v>10</v>
      </c>
      <c r="S781" t="s">
        <v>872</v>
      </c>
      <c r="T781" t="s">
        <v>99</v>
      </c>
      <c r="U781" s="11">
        <f t="shared" si="59"/>
        <v>5.208942626728095E-3</v>
      </c>
      <c r="V781" t="s">
        <v>11</v>
      </c>
      <c r="Y781" t="s">
        <v>925</v>
      </c>
      <c r="Z781" s="11" t="s">
        <v>279</v>
      </c>
      <c r="AA781" s="11">
        <f>INDEX(Bandwidth!$B$290:$T$306,MATCH(dataforsankey!$AB781,Bandwidth!$A$290:$A$306,0),MATCH(dataforsankey!$Z781,Bandwidth!$B$289:$T$289,0))</f>
        <v>0</v>
      </c>
      <c r="AB781" t="s">
        <v>19</v>
      </c>
      <c r="AE781" s="11" t="s">
        <v>191</v>
      </c>
      <c r="AF781" s="11" t="s">
        <v>279</v>
      </c>
      <c r="AG781" s="11">
        <f>INDEX(Bandwidth!$B$353:$T$369,MATCH(dataforsankey!$AH781,Bandwidth!$A$290:$A$306,0),MATCH(dataforsankey!$AF781,Bandwidth!$B$289:$T$289,0))</f>
        <v>0</v>
      </c>
      <c r="AH781" s="28" t="s">
        <v>1</v>
      </c>
    </row>
    <row r="782" spans="13:34" ht="17" x14ac:dyDescent="0.2">
      <c r="M782" t="s">
        <v>335</v>
      </c>
      <c r="N782" t="s">
        <v>191</v>
      </c>
      <c r="O782" s="11">
        <f>INDEX(EndOfLife!$L$64:$P$78,MATCH(dataforsankey!$P782,EndOfLife!$A$64:$A$78,0),MATCH(dataforsankey!$N782,EndOfLife!$L$63:$P$63,0))*INDEX(EndOfLife!$B$85:$C$99,MATCH(dataforsankey!$P782,EndOfLife!$A$85:$A$99,0),MATCH(dataforsankey!$M782,EndOfLife!$B$84:$C$84,0))</f>
        <v>1.3465118581020181E-3</v>
      </c>
      <c r="P782" t="s">
        <v>10</v>
      </c>
      <c r="S782" t="s">
        <v>872</v>
      </c>
      <c r="T782" t="s">
        <v>69</v>
      </c>
      <c r="U782" s="11">
        <f t="shared" si="59"/>
        <v>5.208942626728095E-3</v>
      </c>
      <c r="V782" t="s">
        <v>11</v>
      </c>
      <c r="Y782" t="s">
        <v>330</v>
      </c>
      <c r="Z782" s="11" t="s">
        <v>6</v>
      </c>
      <c r="AA782" s="11">
        <f>INDEX(Bandwidth!$B$290:$T$306,MATCH(dataforsankey!$AB782,Bandwidth!$A$290:$A$306,0),MATCH(dataforsankey!$Z782,Bandwidth!$B$289:$T$289,0))</f>
        <v>0</v>
      </c>
      <c r="AB782" s="28" t="s">
        <v>82</v>
      </c>
      <c r="AE782" t="s">
        <v>330</v>
      </c>
      <c r="AF782" s="11" t="s">
        <v>6</v>
      </c>
      <c r="AG782" s="11">
        <f>INDEX(Bandwidth!$B$353:$T$369,MATCH(dataforsankey!$AH782,Bandwidth!$A$290:$A$306,0),MATCH(dataforsankey!$AF782,Bandwidth!$B$289:$T$289,0))</f>
        <v>0</v>
      </c>
      <c r="AH782" s="28" t="s">
        <v>10</v>
      </c>
    </row>
    <row r="783" spans="13:34" ht="17" x14ac:dyDescent="0.2">
      <c r="M783" t="s">
        <v>335</v>
      </c>
      <c r="N783" t="s">
        <v>6</v>
      </c>
      <c r="O783" s="11">
        <f>INDEX(EndOfLife!$L$64:$P$78,MATCH(dataforsankey!$P783,EndOfLife!$A$64:$A$78,0),MATCH(dataforsankey!$N783,EndOfLife!$L$63:$P$63,0))*INDEX(EndOfLife!$B$85:$C$99,MATCH(dataforsankey!$P783,EndOfLife!$A$85:$A$99,0),MATCH(dataforsankey!$M783,EndOfLife!$B$84:$C$84,0))</f>
        <v>0.13411794544206707</v>
      </c>
      <c r="P783" t="s">
        <v>10</v>
      </c>
      <c r="S783" t="s">
        <v>872</v>
      </c>
      <c r="T783" t="s">
        <v>100</v>
      </c>
      <c r="U783" s="11">
        <f t="shared" si="59"/>
        <v>5.208942626728095E-3</v>
      </c>
      <c r="V783" t="s">
        <v>11</v>
      </c>
      <c r="Y783" s="177" t="s">
        <v>330</v>
      </c>
      <c r="Z783" s="178" t="s">
        <v>191</v>
      </c>
      <c r="AA783" s="178">
        <f>INDEX(Bandwidth!$B$290:$T$306,MATCH(dataforsankey!$AB783,Bandwidth!$A$290:$A$306,0),MATCH(dataforsankey!$Z783,Bandwidth!$B$289:$T$289,0))-INDEX($AG$974:$AG$990,MATCH($AB783,$AH$974:$AH$990,0),1)</f>
        <v>18.055406295063893</v>
      </c>
      <c r="AB783" s="181" t="s">
        <v>82</v>
      </c>
      <c r="AE783" s="177" t="s">
        <v>330</v>
      </c>
      <c r="AF783" s="178" t="s">
        <v>191</v>
      </c>
      <c r="AG783" s="178">
        <f>INDEX(Bandwidth!$T$353:$T$369,MATCH(dataforsankey!$AH783,Bandwidth!$A$353:$A$369,0),1)-INDEX($AG$974:$AG$990,MATCH($AH783,$AH$974:$AH$990,0),1)</f>
        <v>1.5773671406069707</v>
      </c>
      <c r="AH783" s="181" t="s">
        <v>10</v>
      </c>
    </row>
    <row r="784" spans="13:34" ht="17" x14ac:dyDescent="0.2">
      <c r="M784" t="s">
        <v>335</v>
      </c>
      <c r="N784" t="s">
        <v>5</v>
      </c>
      <c r="O784" s="11">
        <f>INDEX(EndOfLife!$L$64:$P$78,MATCH(dataforsankey!$P784,EndOfLife!$A$64:$A$78,0),MATCH(dataforsankey!$N784,EndOfLife!$L$63:$P$63,0))*INDEX(EndOfLife!$B$85:$C$99,MATCH(dataforsankey!$P784,EndOfLife!$A$85:$A$99,0),MATCH(dataforsankey!$M784,EndOfLife!$B$84:$C$84,0))</f>
        <v>2.3101094065562752E-2</v>
      </c>
      <c r="P784" t="s">
        <v>10</v>
      </c>
      <c r="S784" t="s">
        <v>872</v>
      </c>
      <c r="T784" t="s">
        <v>39</v>
      </c>
      <c r="U784" s="11">
        <f t="shared" si="59"/>
        <v>5.208942626728095E-3</v>
      </c>
      <c r="V784" t="s">
        <v>11</v>
      </c>
      <c r="Y784" s="11" t="s">
        <v>191</v>
      </c>
      <c r="Z784" s="11" t="s">
        <v>215</v>
      </c>
      <c r="AA784" s="11">
        <f>INDEX(Bandwidth!$B$290:$T$306,MATCH(dataforsankey!$AB784,Bandwidth!$A$290:$A$306,0),MATCH(dataforsankey!$Z784,Bandwidth!$B$289:$T$289,0))</f>
        <v>0</v>
      </c>
      <c r="AB784" s="28" t="s">
        <v>82</v>
      </c>
      <c r="AE784" s="11" t="s">
        <v>191</v>
      </c>
      <c r="AF784" s="11" t="s">
        <v>215</v>
      </c>
      <c r="AG784" s="11">
        <f>INDEX(Bandwidth!$B$353:$T$369,MATCH(dataforsankey!$AH784,Bandwidth!$A$290:$A$306,0),MATCH(dataforsankey!$AF784,Bandwidth!$B$289:$T$289,0))</f>
        <v>0.36150292806583362</v>
      </c>
      <c r="AH784" s="28" t="s">
        <v>10</v>
      </c>
    </row>
    <row r="785" spans="13:34" ht="17" x14ac:dyDescent="0.2">
      <c r="M785" t="s">
        <v>335</v>
      </c>
      <c r="N785" t="s">
        <v>358</v>
      </c>
      <c r="O785" s="11">
        <f>INDEX(EndOfLife!$L$64:$P$78,MATCH(dataforsankey!$P785,EndOfLife!$A$64:$A$78,0),MATCH(dataforsankey!$N785,EndOfLife!$L$63:$P$63,0))*INDEX(EndOfLife!$B$85:$C$99,MATCH(dataforsankey!$P785,EndOfLife!$A$85:$A$99,0),MATCH(dataforsankey!$M785,EndOfLife!$B$84:$C$84,0))</f>
        <v>0</v>
      </c>
      <c r="P785" t="s">
        <v>10</v>
      </c>
      <c r="S785" t="s">
        <v>872</v>
      </c>
      <c r="T785" t="s">
        <v>68</v>
      </c>
      <c r="U785" s="11">
        <f t="shared" si="59"/>
        <v>5.208942626728095E-3</v>
      </c>
      <c r="V785" t="s">
        <v>11</v>
      </c>
      <c r="Y785" s="11" t="s">
        <v>191</v>
      </c>
      <c r="Z785" s="11" t="s">
        <v>216</v>
      </c>
      <c r="AA785" s="11">
        <f>INDEX(Bandwidth!$B$290:$T$306,MATCH(dataforsankey!$AB785,Bandwidth!$A$290:$A$306,0),MATCH(dataforsankey!$Z785,Bandwidth!$B$289:$T$289,0))</f>
        <v>0</v>
      </c>
      <c r="AB785" s="28" t="s">
        <v>82</v>
      </c>
      <c r="AE785" s="11" t="s">
        <v>191</v>
      </c>
      <c r="AF785" s="11" t="s">
        <v>216</v>
      </c>
      <c r="AG785" s="11">
        <f>INDEX(Bandwidth!$B$353:$T$369,MATCH(dataforsankey!$AH785,Bandwidth!$A$290:$A$306,0),MATCH(dataforsankey!$AF785,Bandwidth!$B$289:$T$289,0))</f>
        <v>0</v>
      </c>
      <c r="AH785" s="28" t="s">
        <v>10</v>
      </c>
    </row>
    <row r="786" spans="13:34" ht="17" x14ac:dyDescent="0.2">
      <c r="M786" t="s">
        <v>330</v>
      </c>
      <c r="N786" t="s">
        <v>191</v>
      </c>
      <c r="O786" s="11">
        <f>INDEX(EndOfLife!$L$64:$P$78,MATCH(dataforsankey!$P786,EndOfLife!$A$64:$A$78,0),MATCH(dataforsankey!$N786,EndOfLife!$L$63:$P$63,0))*INDEX(EndOfLife!$B$85:$C$99,MATCH(dataforsankey!$P786,EndOfLife!$A$85:$A$99,0),MATCH(dataforsankey!$M786,EndOfLife!$B$84:$C$84,0))</f>
        <v>1.926893193263355E-2</v>
      </c>
      <c r="P786" t="s">
        <v>11</v>
      </c>
      <c r="S786" t="s">
        <v>872</v>
      </c>
      <c r="T786" t="s">
        <v>63</v>
      </c>
      <c r="U786" s="11">
        <f t="shared" si="59"/>
        <v>5.208942626728095E-3</v>
      </c>
      <c r="V786" t="s">
        <v>11</v>
      </c>
      <c r="Y786" s="11" t="s">
        <v>191</v>
      </c>
      <c r="Z786" s="11" t="s">
        <v>217</v>
      </c>
      <c r="AA786" s="11">
        <f>INDEX(Bandwidth!$B$290:$T$306,MATCH(dataforsankey!$AB786,Bandwidth!$A$290:$A$306,0),MATCH(dataforsankey!$Z786,Bandwidth!$B$289:$T$289,0))</f>
        <v>10.183454446093013</v>
      </c>
      <c r="AB786" s="28" t="s">
        <v>82</v>
      </c>
      <c r="AE786" s="11" t="s">
        <v>191</v>
      </c>
      <c r="AF786" s="11" t="s">
        <v>217</v>
      </c>
      <c r="AG786" s="11">
        <f>INDEX(Bandwidth!$B$353:$T$369,MATCH(dataforsankey!$AH786,Bandwidth!$A$290:$A$306,0),MATCH(dataforsankey!$AF786,Bandwidth!$B$289:$T$289,0))</f>
        <v>0</v>
      </c>
      <c r="AH786" s="28" t="s">
        <v>10</v>
      </c>
    </row>
    <row r="787" spans="13:34" ht="17" x14ac:dyDescent="0.2">
      <c r="M787" t="s">
        <v>330</v>
      </c>
      <c r="N787" t="s">
        <v>333</v>
      </c>
      <c r="O787" s="11">
        <f>INDEX(EndOfLife!$L$64:$P$78,MATCH(dataforsankey!$P787,EndOfLife!$A$64:$A$78,0),MATCH(dataforsankey!$N787,EndOfLife!$L$63:$P$63,0))*INDEX(EndOfLife!$B$85:$C$99,MATCH(dataforsankey!$P787,EndOfLife!$A$85:$A$99,0),MATCH(dataforsankey!$M787,EndOfLife!$B$84:$C$84,0))</f>
        <v>5.3652294973927379E-2</v>
      </c>
      <c r="P787" t="s">
        <v>11</v>
      </c>
      <c r="S787" t="s">
        <v>872</v>
      </c>
      <c r="T787" t="s">
        <v>92</v>
      </c>
      <c r="U787" s="11">
        <f t="shared" si="59"/>
        <v>5.208942626728095E-3</v>
      </c>
      <c r="V787" t="s">
        <v>11</v>
      </c>
      <c r="Y787" s="11" t="s">
        <v>191</v>
      </c>
      <c r="Z787" s="11" t="s">
        <v>218</v>
      </c>
      <c r="AA787" s="11">
        <f>INDEX(Bandwidth!$B$290:$T$306,MATCH(dataforsankey!$AB787,Bandwidth!$A$290:$A$306,0),MATCH(dataforsankey!$Z787,Bandwidth!$B$289:$T$289,0))</f>
        <v>1.0183454446093012</v>
      </c>
      <c r="AB787" s="28" t="s">
        <v>82</v>
      </c>
      <c r="AE787" s="11" t="s">
        <v>191</v>
      </c>
      <c r="AF787" s="11" t="s">
        <v>218</v>
      </c>
      <c r="AG787" s="11">
        <f>INDEX(Bandwidth!$B$353:$T$369,MATCH(dataforsankey!$AH787,Bandwidth!$A$290:$A$306,0),MATCH(dataforsankey!$AF787,Bandwidth!$B$289:$T$289,0))</f>
        <v>0</v>
      </c>
      <c r="AH787" s="28" t="s">
        <v>10</v>
      </c>
    </row>
    <row r="788" spans="13:34" ht="17" x14ac:dyDescent="0.2">
      <c r="M788" t="s">
        <v>330</v>
      </c>
      <c r="N788" t="s">
        <v>6</v>
      </c>
      <c r="O788" s="11">
        <f>INDEX(EndOfLife!$L$64:$P$78,MATCH(dataforsankey!$P788,EndOfLife!$A$64:$A$78,0),MATCH(dataforsankey!$N788,EndOfLife!$L$63:$P$63,0))*INDEX(EndOfLife!$B$85:$C$99,MATCH(dataforsankey!$P788,EndOfLife!$A$85:$A$99,0),MATCH(dataforsankey!$M788,EndOfLife!$B$84:$C$84,0))</f>
        <v>1.197400952355947</v>
      </c>
      <c r="P788" t="s">
        <v>11</v>
      </c>
      <c r="S788" t="s">
        <v>872</v>
      </c>
      <c r="T788" t="s">
        <v>103</v>
      </c>
      <c r="U788" s="11">
        <f t="shared" si="59"/>
        <v>0</v>
      </c>
      <c r="V788" t="s">
        <v>11</v>
      </c>
      <c r="Y788" s="11" t="s">
        <v>191</v>
      </c>
      <c r="Z788" s="11" t="s">
        <v>219</v>
      </c>
      <c r="AA788" s="11">
        <f>INDEX(Bandwidth!$B$290:$T$306,MATCH(dataforsankey!$AB788,Bandwidth!$A$290:$A$306,0),MATCH(dataforsankey!$Z788,Bandwidth!$B$289:$T$289,0))</f>
        <v>3.4623745116716247</v>
      </c>
      <c r="AB788" s="28" t="s">
        <v>82</v>
      </c>
      <c r="AE788" s="11" t="s">
        <v>191</v>
      </c>
      <c r="AF788" s="11" t="s">
        <v>219</v>
      </c>
      <c r="AG788" s="11">
        <f>INDEX(Bandwidth!$B$353:$T$369,MATCH(dataforsankey!$AH788,Bandwidth!$A$290:$A$306,0),MATCH(dataforsankey!$AF788,Bandwidth!$B$289:$T$289,0))</f>
        <v>0</v>
      </c>
      <c r="AH788" s="28" t="s">
        <v>10</v>
      </c>
    </row>
    <row r="789" spans="13:34" ht="17" x14ac:dyDescent="0.2">
      <c r="M789" t="s">
        <v>330</v>
      </c>
      <c r="N789" t="s">
        <v>5</v>
      </c>
      <c r="O789" s="11">
        <f>INDEX(EndOfLife!$L$64:$P$78,MATCH(dataforsankey!$P789,EndOfLife!$A$64:$A$78,0),MATCH(dataforsankey!$N789,EndOfLife!$L$63:$P$63,0))*INDEX(EndOfLife!$B$85:$C$99,MATCH(dataforsankey!$P789,EndOfLife!$A$85:$A$99,0),MATCH(dataforsankey!$M789,EndOfLife!$B$84:$C$84,0))</f>
        <v>0.26262840560033873</v>
      </c>
      <c r="P789" t="s">
        <v>11</v>
      </c>
      <c r="S789" t="s">
        <v>872</v>
      </c>
      <c r="T789" t="s">
        <v>86</v>
      </c>
      <c r="U789" s="11">
        <f t="shared" si="59"/>
        <v>5.208942626728095E-3</v>
      </c>
      <c r="V789" t="s">
        <v>11</v>
      </c>
      <c r="Y789" s="11" t="s">
        <v>191</v>
      </c>
      <c r="Z789" s="11" t="s">
        <v>302</v>
      </c>
      <c r="AA789" s="11">
        <f>INDEX(Bandwidth!$B$290:$T$306,MATCH(dataforsankey!$AB789,Bandwidth!$A$290:$A$306,0),MATCH(dataforsankey!$Z789,Bandwidth!$B$289:$T$289,0))</f>
        <v>0</v>
      </c>
      <c r="AB789" s="28" t="s">
        <v>82</v>
      </c>
      <c r="AE789" s="11" t="s">
        <v>191</v>
      </c>
      <c r="AF789" s="11" t="s">
        <v>302</v>
      </c>
      <c r="AG789" s="11">
        <f>INDEX(Bandwidth!$B$353:$T$369,MATCH(dataforsankey!$AH789,Bandwidth!$A$290:$A$306,0),MATCH(dataforsankey!$AF789,Bandwidth!$B$289:$T$289,0))</f>
        <v>0</v>
      </c>
      <c r="AH789" s="28" t="s">
        <v>10</v>
      </c>
    </row>
    <row r="790" spans="13:34" ht="17" x14ac:dyDescent="0.2">
      <c r="M790" t="s">
        <v>330</v>
      </c>
      <c r="N790" t="s">
        <v>358</v>
      </c>
      <c r="O790" s="11">
        <f>INDEX(EndOfLife!$L$64:$P$78,MATCH(dataforsankey!$P790,EndOfLife!$A$64:$A$78,0),MATCH(dataforsankey!$N790,EndOfLife!$L$63:$P$63,0))*INDEX(EndOfLife!$B$85:$C$99,MATCH(dataforsankey!$P790,EndOfLife!$A$85:$A$99,0),MATCH(dataforsankey!$M790,EndOfLife!$B$84:$C$84,0))</f>
        <v>0</v>
      </c>
      <c r="P790" t="s">
        <v>11</v>
      </c>
      <c r="S790" t="s">
        <v>872</v>
      </c>
      <c r="T790" t="s">
        <v>18</v>
      </c>
      <c r="U790" s="11">
        <f t="shared" si="59"/>
        <v>5.208942626728095E-3</v>
      </c>
      <c r="V790" t="s">
        <v>11</v>
      </c>
      <c r="Y790" s="11" t="s">
        <v>191</v>
      </c>
      <c r="Z790" s="11" t="s">
        <v>220</v>
      </c>
      <c r="AA790" s="11">
        <f>INDEX(Bandwidth!$B$290:$T$306,MATCH(dataforsankey!$AB790,Bandwidth!$A$290:$A$306,0),MATCH(dataforsankey!$Z790,Bandwidth!$B$289:$T$289,0))</f>
        <v>1.0183454446093012</v>
      </c>
      <c r="AB790" s="28" t="s">
        <v>82</v>
      </c>
      <c r="AE790" s="11" t="s">
        <v>191</v>
      </c>
      <c r="AF790" s="11" t="s">
        <v>220</v>
      </c>
      <c r="AG790" s="11">
        <f>INDEX(Bandwidth!$B$353:$T$369,MATCH(dataforsankey!$AH790,Bandwidth!$A$290:$A$306,0),MATCH(dataforsankey!$AF790,Bandwidth!$B$289:$T$289,0))</f>
        <v>0</v>
      </c>
      <c r="AH790" s="28" t="s">
        <v>10</v>
      </c>
    </row>
    <row r="791" spans="13:34" ht="17" x14ac:dyDescent="0.2">
      <c r="M791" t="s">
        <v>335</v>
      </c>
      <c r="N791" t="s">
        <v>191</v>
      </c>
      <c r="O791" s="11">
        <f>INDEX(EndOfLife!$L$64:$P$78,MATCH(dataforsankey!$P791,EndOfLife!$A$64:$A$78,0),MATCH(dataforsankey!$N791,EndOfLife!$L$63:$P$63,0))*INDEX(EndOfLife!$B$85:$C$99,MATCH(dataforsankey!$P791,EndOfLife!$A$85:$A$99,0),MATCH(dataforsankey!$M791,EndOfLife!$B$84:$C$84,0))</f>
        <v>1.9268546561702314E-3</v>
      </c>
      <c r="P791" t="s">
        <v>11</v>
      </c>
      <c r="S791" t="s">
        <v>872</v>
      </c>
      <c r="T791" t="s">
        <v>38</v>
      </c>
      <c r="U791" s="11">
        <f t="shared" ref="U791:U854" si="60">SUMIFS($O$23:$O$935,$M$23:$M$935,S791,$N$23:$N$935,T791,$P$23:$P$935,V791)</f>
        <v>1.0892722112880006E-2</v>
      </c>
      <c r="V791" t="s">
        <v>25</v>
      </c>
      <c r="Y791" s="11" t="s">
        <v>191</v>
      </c>
      <c r="Z791" s="11" t="s">
        <v>221</v>
      </c>
      <c r="AA791" s="11">
        <f>INDEX(Bandwidth!$B$290:$T$306,MATCH(dataforsankey!$AB791,Bandwidth!$A$290:$A$306,0),MATCH(dataforsankey!$Z791,Bandwidth!$B$289:$T$289,0))</f>
        <v>0</v>
      </c>
      <c r="AB791" s="28" t="s">
        <v>82</v>
      </c>
      <c r="AE791" s="11" t="s">
        <v>191</v>
      </c>
      <c r="AF791" s="11" t="s">
        <v>221</v>
      </c>
      <c r="AG791" s="11">
        <f>INDEX(Bandwidth!$B$353:$T$369,MATCH(dataforsankey!$AH791,Bandwidth!$A$290:$A$306,0),MATCH(dataforsankey!$AF791,Bandwidth!$B$289:$T$289,0))</f>
        <v>0</v>
      </c>
      <c r="AH791" s="28" t="s">
        <v>10</v>
      </c>
    </row>
    <row r="792" spans="13:34" ht="17" x14ac:dyDescent="0.2">
      <c r="M792" t="s">
        <v>335</v>
      </c>
      <c r="N792" t="s">
        <v>6</v>
      </c>
      <c r="O792" s="11">
        <f>INDEX(EndOfLife!$L$64:$P$78,MATCH(dataforsankey!$P792,EndOfLife!$A$64:$A$78,0),MATCH(dataforsankey!$N792,EndOfLife!$L$63:$P$63,0))*INDEX(EndOfLife!$B$85:$C$99,MATCH(dataforsankey!$P792,EndOfLife!$A$85:$A$99,0),MATCH(dataforsankey!$M792,EndOfLife!$B$84:$C$84,0))</f>
        <v>0.11973770048158508</v>
      </c>
      <c r="P792" t="s">
        <v>11</v>
      </c>
      <c r="S792" t="s">
        <v>872</v>
      </c>
      <c r="T792" t="s">
        <v>99</v>
      </c>
      <c r="U792" s="11">
        <f t="shared" si="60"/>
        <v>1.0892722112880006E-2</v>
      </c>
      <c r="V792" t="s">
        <v>25</v>
      </c>
      <c r="Y792" s="11" t="s">
        <v>191</v>
      </c>
      <c r="Z792" s="11" t="s">
        <v>222</v>
      </c>
      <c r="AA792" s="11">
        <f>INDEX(Bandwidth!$B$290:$T$306,MATCH(dataforsankey!$AB792,Bandwidth!$A$290:$A$306,0),MATCH(dataforsankey!$Z792,Bandwidth!$B$289:$T$289,0))</f>
        <v>0</v>
      </c>
      <c r="AB792" s="28" t="s">
        <v>82</v>
      </c>
      <c r="AE792" s="11" t="s">
        <v>191</v>
      </c>
      <c r="AF792" s="11" t="s">
        <v>222</v>
      </c>
      <c r="AG792" s="11">
        <f>INDEX(Bandwidth!$B$353:$T$369,MATCH(dataforsankey!$AH792,Bandwidth!$A$290:$A$306,0),MATCH(dataforsankey!$AF792,Bandwidth!$B$289:$T$289,0))</f>
        <v>0</v>
      </c>
      <c r="AH792" s="28" t="s">
        <v>10</v>
      </c>
    </row>
    <row r="793" spans="13:34" ht="17" x14ac:dyDescent="0.2">
      <c r="M793" t="s">
        <v>335</v>
      </c>
      <c r="N793" t="s">
        <v>5</v>
      </c>
      <c r="O793" s="11">
        <f>INDEX(EndOfLife!$L$64:$P$78,MATCH(dataforsankey!$P793,EndOfLife!$A$64:$A$78,0),MATCH(dataforsankey!$N793,EndOfLife!$L$63:$P$63,0))*INDEX(EndOfLife!$B$85:$C$99,MATCH(dataforsankey!$P793,EndOfLife!$A$85:$A$99,0),MATCH(dataforsankey!$M793,EndOfLife!$B$84:$C$84,0))</f>
        <v>2.6262315313727597E-2</v>
      </c>
      <c r="P793" t="s">
        <v>11</v>
      </c>
      <c r="S793" t="s">
        <v>872</v>
      </c>
      <c r="T793" t="s">
        <v>69</v>
      </c>
      <c r="U793" s="11">
        <f t="shared" si="60"/>
        <v>1.0892722112880006E-2</v>
      </c>
      <c r="V793" t="s">
        <v>25</v>
      </c>
      <c r="Y793" s="11" t="s">
        <v>191</v>
      </c>
      <c r="Z793" s="11" t="s">
        <v>223</v>
      </c>
      <c r="AA793" s="11">
        <f>INDEX(Bandwidth!$B$290:$T$306,MATCH(dataforsankey!$AB793,Bandwidth!$A$290:$A$306,0),MATCH(dataforsankey!$Z793,Bandwidth!$B$289:$T$289,0))</f>
        <v>3.6660436005934844</v>
      </c>
      <c r="AB793" s="28" t="s">
        <v>82</v>
      </c>
      <c r="AE793" s="11" t="s">
        <v>191</v>
      </c>
      <c r="AF793" s="11" t="s">
        <v>223</v>
      </c>
      <c r="AG793" s="11">
        <f>INDEX(Bandwidth!$B$353:$T$369,MATCH(dataforsankey!$AH793,Bandwidth!$A$290:$A$306,0),MATCH(dataforsankey!$AF793,Bandwidth!$B$289:$T$289,0))</f>
        <v>0</v>
      </c>
      <c r="AH793" s="28" t="s">
        <v>10</v>
      </c>
    </row>
    <row r="794" spans="13:34" ht="17" x14ac:dyDescent="0.2">
      <c r="M794" t="s">
        <v>335</v>
      </c>
      <c r="N794" t="s">
        <v>358</v>
      </c>
      <c r="O794" s="11">
        <f>INDEX(EndOfLife!$L$64:$P$78,MATCH(dataforsankey!$P794,EndOfLife!$A$64:$A$78,0),MATCH(dataforsankey!$N794,EndOfLife!$L$63:$P$63,0))*INDEX(EndOfLife!$B$85:$C$99,MATCH(dataforsankey!$P794,EndOfLife!$A$85:$A$99,0),MATCH(dataforsankey!$M794,EndOfLife!$B$84:$C$84,0))</f>
        <v>0</v>
      </c>
      <c r="P794" t="s">
        <v>11</v>
      </c>
      <c r="S794" t="s">
        <v>872</v>
      </c>
      <c r="T794" t="s">
        <v>100</v>
      </c>
      <c r="U794" s="11">
        <f t="shared" si="60"/>
        <v>1.0892722112880006E-2</v>
      </c>
      <c r="V794" t="s">
        <v>25</v>
      </c>
      <c r="Y794" s="11" t="s">
        <v>191</v>
      </c>
      <c r="Z794" s="11" t="s">
        <v>224</v>
      </c>
      <c r="AA794" s="11">
        <f>INDEX(Bandwidth!$B$290:$T$306,MATCH(dataforsankey!$AB794,Bandwidth!$A$290:$A$306,0),MATCH(dataforsankey!$Z794,Bandwidth!$B$289:$T$289,0))</f>
        <v>1.0183454446093012</v>
      </c>
      <c r="AB794" s="28" t="s">
        <v>82</v>
      </c>
      <c r="AE794" s="11" t="s">
        <v>191</v>
      </c>
      <c r="AF794" s="11" t="s">
        <v>224</v>
      </c>
      <c r="AG794" s="11">
        <f>INDEX(Bandwidth!$B$353:$T$369,MATCH(dataforsankey!$AH794,Bandwidth!$A$290:$A$306,0),MATCH(dataforsankey!$AF794,Bandwidth!$B$289:$T$289,0))</f>
        <v>0</v>
      </c>
      <c r="AH794" s="28" t="s">
        <v>10</v>
      </c>
    </row>
    <row r="795" spans="13:34" ht="17" x14ac:dyDescent="0.2">
      <c r="M795" t="s">
        <v>330</v>
      </c>
      <c r="N795" t="s">
        <v>191</v>
      </c>
      <c r="O795" s="11">
        <f>INDEX(EndOfLife!$L$64:$P$78,MATCH(dataforsankey!$P795,EndOfLife!$A$64:$A$78,0),MATCH(dataforsankey!$N795,EndOfLife!$L$63:$P$63,0))*INDEX(EndOfLife!$B$85:$C$99,MATCH(dataforsankey!$P795,EndOfLife!$A$85:$A$99,0),MATCH(dataforsankey!$M795,EndOfLife!$B$84:$C$84,0))</f>
        <v>1.9787044388802362E-2</v>
      </c>
      <c r="P795" t="s">
        <v>25</v>
      </c>
      <c r="S795" t="s">
        <v>872</v>
      </c>
      <c r="T795" t="s">
        <v>39</v>
      </c>
      <c r="U795" s="11">
        <f t="shared" si="60"/>
        <v>1.0892722112880006E-2</v>
      </c>
      <c r="V795" t="s">
        <v>25</v>
      </c>
      <c r="Y795" s="11" t="s">
        <v>191</v>
      </c>
      <c r="Z795" s="11" t="s">
        <v>225</v>
      </c>
      <c r="AA795" s="11">
        <f>INDEX(Bandwidth!$B$290:$T$306,MATCH(dataforsankey!$AB795,Bandwidth!$A$290:$A$306,0),MATCH(dataforsankey!$Z795,Bandwidth!$B$289:$T$289,0))</f>
        <v>0</v>
      </c>
      <c r="AB795" s="28" t="s">
        <v>82</v>
      </c>
      <c r="AE795" s="11" t="s">
        <v>191</v>
      </c>
      <c r="AF795" s="11" t="s">
        <v>225</v>
      </c>
      <c r="AG795" s="11">
        <f>INDEX(Bandwidth!$B$353:$T$369,MATCH(dataforsankey!$AH795,Bandwidth!$A$290:$A$306,0),MATCH(dataforsankey!$AF795,Bandwidth!$B$289:$T$289,0))</f>
        <v>1.4460117122633345</v>
      </c>
      <c r="AH795" s="28" t="s">
        <v>10</v>
      </c>
    </row>
    <row r="796" spans="13:34" ht="17" x14ac:dyDescent="0.2">
      <c r="M796" t="s">
        <v>330</v>
      </c>
      <c r="N796" t="s">
        <v>333</v>
      </c>
      <c r="O796" s="11">
        <f>INDEX(EndOfLife!$L$64:$P$78,MATCH(dataforsankey!$P796,EndOfLife!$A$64:$A$78,0),MATCH(dataforsankey!$N796,EndOfLife!$L$63:$P$63,0))*INDEX(EndOfLife!$B$85:$C$99,MATCH(dataforsankey!$P796,EndOfLife!$A$85:$A$99,0),MATCH(dataforsankey!$M796,EndOfLife!$B$84:$C$84,0))</f>
        <v>5.5094924094483723E-2</v>
      </c>
      <c r="P796" t="s">
        <v>25</v>
      </c>
      <c r="S796" t="s">
        <v>872</v>
      </c>
      <c r="T796" t="s">
        <v>68</v>
      </c>
      <c r="U796" s="11">
        <f t="shared" si="60"/>
        <v>1.0892722112880006E-2</v>
      </c>
      <c r="V796" t="s">
        <v>25</v>
      </c>
      <c r="Y796" s="11" t="s">
        <v>191</v>
      </c>
      <c r="Z796" s="11" t="s">
        <v>226</v>
      </c>
      <c r="AA796" s="11">
        <f>INDEX(Bandwidth!$B$290:$T$306,MATCH(dataforsankey!$AB796,Bandwidth!$A$290:$A$306,0),MATCH(dataforsankey!$Z796,Bandwidth!$B$289:$T$289,0))</f>
        <v>0</v>
      </c>
      <c r="AB796" s="28" t="s">
        <v>82</v>
      </c>
      <c r="AE796" s="11" t="s">
        <v>191</v>
      </c>
      <c r="AF796" s="11" t="s">
        <v>226</v>
      </c>
      <c r="AG796" s="11">
        <f>INDEX(Bandwidth!$B$353:$T$369,MATCH(dataforsankey!$AH796,Bandwidth!$A$290:$A$306,0),MATCH(dataforsankey!$AF796,Bandwidth!$B$289:$T$289,0))</f>
        <v>0</v>
      </c>
      <c r="AH796" s="28" t="s">
        <v>10</v>
      </c>
    </row>
    <row r="797" spans="13:34" ht="17" x14ac:dyDescent="0.2">
      <c r="M797" t="s">
        <v>330</v>
      </c>
      <c r="N797" t="s">
        <v>6</v>
      </c>
      <c r="O797" s="11">
        <f>INDEX(EndOfLife!$L$64:$P$78,MATCH(dataforsankey!$P797,EndOfLife!$A$64:$A$78,0),MATCH(dataforsankey!$N797,EndOfLife!$L$63:$P$63,0))*INDEX(EndOfLife!$B$85:$C$99,MATCH(dataforsankey!$P797,EndOfLife!$A$85:$A$99,0),MATCH(dataforsankey!$M797,EndOfLife!$B$84:$C$84,0))</f>
        <v>1.2295972541859066</v>
      </c>
      <c r="P797" t="s">
        <v>25</v>
      </c>
      <c r="S797" t="s">
        <v>872</v>
      </c>
      <c r="T797" t="s">
        <v>63</v>
      </c>
      <c r="U797" s="11">
        <f t="shared" si="60"/>
        <v>1.0892722112880006E-2</v>
      </c>
      <c r="V797" t="s">
        <v>25</v>
      </c>
      <c r="Y797" s="11" t="s">
        <v>191</v>
      </c>
      <c r="Z797" s="11" t="s">
        <v>279</v>
      </c>
      <c r="AA797" s="11">
        <f>INDEX(Bandwidth!$B$290:$T$306,MATCH(dataforsankey!$AB797,Bandwidth!$A$290:$A$306,0),MATCH(dataforsankey!$Z797,Bandwidth!$B$289:$T$289,0))</f>
        <v>0</v>
      </c>
      <c r="AB797" s="28" t="s">
        <v>82</v>
      </c>
      <c r="AE797" s="11" t="s">
        <v>191</v>
      </c>
      <c r="AF797" s="11" t="s">
        <v>279</v>
      </c>
      <c r="AG797" s="11">
        <f>INDEX(Bandwidth!$B$353:$T$369,MATCH(dataforsankey!$AH797,Bandwidth!$A$290:$A$306,0),MATCH(dataforsankey!$AF797,Bandwidth!$B$289:$T$289,0))</f>
        <v>0</v>
      </c>
      <c r="AH797" s="28" t="s">
        <v>10</v>
      </c>
    </row>
    <row r="798" spans="13:34" ht="17" x14ac:dyDescent="0.2">
      <c r="M798" t="s">
        <v>330</v>
      </c>
      <c r="N798" t="s">
        <v>5</v>
      </c>
      <c r="O798" s="11">
        <f>INDEX(EndOfLife!$L$64:$P$78,MATCH(dataforsankey!$P798,EndOfLife!$A$64:$A$78,0),MATCH(dataforsankey!$N798,EndOfLife!$L$63:$P$63,0))*INDEX(EndOfLife!$B$85:$C$99,MATCH(dataforsankey!$P798,EndOfLife!$A$85:$A$99,0),MATCH(dataforsankey!$M798,EndOfLife!$B$84:$C$84,0))</f>
        <v>0.26969008648441734</v>
      </c>
      <c r="P798" t="s">
        <v>25</v>
      </c>
      <c r="S798" t="s">
        <v>872</v>
      </c>
      <c r="T798" t="s">
        <v>92</v>
      </c>
      <c r="U798" s="11">
        <f t="shared" si="60"/>
        <v>1.0892722112880006E-2</v>
      </c>
      <c r="V798" t="s">
        <v>25</v>
      </c>
      <c r="Y798" t="s">
        <v>330</v>
      </c>
      <c r="Z798" s="11" t="s">
        <v>6</v>
      </c>
      <c r="AA798" s="11">
        <f>INDEX(Bandwidth!$B$290:$T$306,MATCH(dataforsankey!$AB798,Bandwidth!$A$290:$A$306,0),MATCH(dataforsankey!$Z798,Bandwidth!$B$289:$T$289,0))</f>
        <v>0</v>
      </c>
      <c r="AB798" s="28" t="s">
        <v>127</v>
      </c>
      <c r="AE798" t="s">
        <v>330</v>
      </c>
      <c r="AF798" s="11" t="s">
        <v>6</v>
      </c>
      <c r="AG798" s="11">
        <f>INDEX(Bandwidth!$B$353:$T$369,MATCH(dataforsankey!$AH798,Bandwidth!$A$290:$A$306,0),MATCH(dataforsankey!$AF798,Bandwidth!$B$289:$T$289,0))</f>
        <v>0</v>
      </c>
      <c r="AH798" s="28" t="s">
        <v>11</v>
      </c>
    </row>
    <row r="799" spans="13:34" ht="17" x14ac:dyDescent="0.2">
      <c r="M799" t="s">
        <v>330</v>
      </c>
      <c r="N799" t="s">
        <v>358</v>
      </c>
      <c r="O799" s="11">
        <f>INDEX(EndOfLife!$L$64:$P$78,MATCH(dataforsankey!$P799,EndOfLife!$A$64:$A$78,0),MATCH(dataforsankey!$N799,EndOfLife!$L$63:$P$63,0))*INDEX(EndOfLife!$B$85:$C$99,MATCH(dataforsankey!$P799,EndOfLife!$A$85:$A$99,0),MATCH(dataforsankey!$M799,EndOfLife!$B$84:$C$84,0))</f>
        <v>0</v>
      </c>
      <c r="P799" t="s">
        <v>25</v>
      </c>
      <c r="S799" t="s">
        <v>872</v>
      </c>
      <c r="T799" t="s">
        <v>103</v>
      </c>
      <c r="U799" s="11">
        <f t="shared" si="60"/>
        <v>0</v>
      </c>
      <c r="V799" t="s">
        <v>25</v>
      </c>
      <c r="Y799" s="177" t="s">
        <v>330</v>
      </c>
      <c r="Z799" s="178" t="s">
        <v>191</v>
      </c>
      <c r="AA799" s="178">
        <f>INDEX(Bandwidth!$B$290:$T$306,MATCH(dataforsankey!$AB799,Bandwidth!$A$290:$A$306,0),MATCH(dataforsankey!$Z799,Bandwidth!$B$289:$T$289,0))-INDEX($AG$974:$AG$990,MATCH($AB799,$AH$974:$AH$990,0),1)</f>
        <v>1.7104148645049755</v>
      </c>
      <c r="AB799" s="181" t="s">
        <v>127</v>
      </c>
      <c r="AE799" s="177" t="s">
        <v>330</v>
      </c>
      <c r="AF799" s="178" t="s">
        <v>191</v>
      </c>
      <c r="AG799" s="178">
        <f>INDEX(Bandwidth!$T$353:$T$369,MATCH(dataforsankey!$AH799,Bandwidth!$A$353:$A$369,0),1)-INDEX($AG$974:$AG$990,MATCH($AH799,$AH$974:$AH$990,0),1)</f>
        <v>1.4715364254926067</v>
      </c>
      <c r="AH799" s="181" t="s">
        <v>11</v>
      </c>
    </row>
    <row r="800" spans="13:34" ht="17" x14ac:dyDescent="0.2">
      <c r="M800" t="s">
        <v>335</v>
      </c>
      <c r="N800" t="s">
        <v>191</v>
      </c>
      <c r="O800" s="11">
        <f>INDEX(EndOfLife!$L$64:$P$78,MATCH(dataforsankey!$P800,EndOfLife!$A$64:$A$78,0),MATCH(dataforsankey!$N800,EndOfLife!$L$63:$P$63,0))*INDEX(EndOfLife!$B$85:$C$99,MATCH(dataforsankey!$P800,EndOfLife!$A$85:$A$99,0),MATCH(dataforsankey!$M800,EndOfLife!$B$84:$C$84,0))</f>
        <v>1.9786648655829241E-3</v>
      </c>
      <c r="P800" t="s">
        <v>25</v>
      </c>
      <c r="S800" t="s">
        <v>872</v>
      </c>
      <c r="T800" t="s">
        <v>86</v>
      </c>
      <c r="U800" s="11">
        <f t="shared" si="60"/>
        <v>1.0892722112880006E-2</v>
      </c>
      <c r="V800" t="s">
        <v>25</v>
      </c>
      <c r="Y800" s="11" t="s">
        <v>191</v>
      </c>
      <c r="Z800" s="11" t="s">
        <v>215</v>
      </c>
      <c r="AA800" s="11">
        <f>INDEX(Bandwidth!$B$290:$T$306,MATCH(dataforsankey!$AB800,Bandwidth!$A$290:$A$306,0),MATCH(dataforsankey!$Z800,Bandwidth!$B$289:$T$289,0))</f>
        <v>0</v>
      </c>
      <c r="AB800" s="28" t="s">
        <v>127</v>
      </c>
      <c r="AE800" s="11" t="s">
        <v>191</v>
      </c>
      <c r="AF800" s="11" t="s">
        <v>215</v>
      </c>
      <c r="AG800" s="11">
        <f>INDEX(Bandwidth!$B$353:$T$369,MATCH(dataforsankey!$AH800,Bandwidth!$A$290:$A$306,0),MATCH(dataforsankey!$AF800,Bandwidth!$B$289:$T$289,0))</f>
        <v>0.33724851550185575</v>
      </c>
      <c r="AH800" s="28" t="s">
        <v>11</v>
      </c>
    </row>
    <row r="801" spans="13:34" ht="17" x14ac:dyDescent="0.2">
      <c r="M801" t="s">
        <v>335</v>
      </c>
      <c r="N801" t="s">
        <v>6</v>
      </c>
      <c r="O801" s="11">
        <f>INDEX(EndOfLife!$L$64:$P$78,MATCH(dataforsankey!$P801,EndOfLife!$A$64:$A$78,0),MATCH(dataforsankey!$N801,EndOfLife!$L$63:$P$63,0))*INDEX(EndOfLife!$B$85:$C$99,MATCH(dataforsankey!$P801,EndOfLife!$A$85:$A$99,0),MATCH(dataforsankey!$M801,EndOfLife!$B$84:$C$84,0))</f>
        <v>0.12295726627326518</v>
      </c>
      <c r="P801" t="s">
        <v>25</v>
      </c>
      <c r="S801" t="s">
        <v>872</v>
      </c>
      <c r="T801" t="s">
        <v>18</v>
      </c>
      <c r="U801" s="11">
        <f t="shared" si="60"/>
        <v>1.0892722112880006E-2</v>
      </c>
      <c r="V801" t="s">
        <v>25</v>
      </c>
      <c r="Y801" s="11" t="s">
        <v>191</v>
      </c>
      <c r="Z801" s="11" t="s">
        <v>216</v>
      </c>
      <c r="AA801" s="11">
        <f>INDEX(Bandwidth!$B$290:$T$306,MATCH(dataforsankey!$AB801,Bandwidth!$A$290:$A$306,0),MATCH(dataforsankey!$Z801,Bandwidth!$B$289:$T$289,0))</f>
        <v>0</v>
      </c>
      <c r="AB801" s="28" t="s">
        <v>127</v>
      </c>
      <c r="AE801" s="11" t="s">
        <v>191</v>
      </c>
      <c r="AF801" s="11" t="s">
        <v>216</v>
      </c>
      <c r="AG801" s="11">
        <f>INDEX(Bandwidth!$B$353:$T$369,MATCH(dataforsankey!$AH801,Bandwidth!$A$290:$A$306,0),MATCH(dataforsankey!$AF801,Bandwidth!$B$289:$T$289,0))</f>
        <v>0</v>
      </c>
      <c r="AH801" s="28" t="s">
        <v>11</v>
      </c>
    </row>
    <row r="802" spans="13:34" ht="17" x14ac:dyDescent="0.2">
      <c r="M802" t="s">
        <v>335</v>
      </c>
      <c r="N802" t="s">
        <v>5</v>
      </c>
      <c r="O802" s="11">
        <f>INDEX(EndOfLife!$L$64:$P$78,MATCH(dataforsankey!$P802,EndOfLife!$A$64:$A$78,0),MATCH(dataforsankey!$N802,EndOfLife!$L$63:$P$63,0))*INDEX(EndOfLife!$B$85:$C$99,MATCH(dataforsankey!$P802,EndOfLife!$A$85:$A$99,0),MATCH(dataforsankey!$M802,EndOfLife!$B$84:$C$84,0))</f>
        <v>2.6968469279056152E-2</v>
      </c>
      <c r="P802" t="s">
        <v>25</v>
      </c>
      <c r="S802" t="s">
        <v>872</v>
      </c>
      <c r="T802" t="s">
        <v>38</v>
      </c>
      <c r="U802" s="11">
        <f t="shared" si="60"/>
        <v>1.5940084389842124E-2</v>
      </c>
      <c r="V802" t="s">
        <v>7</v>
      </c>
      <c r="Y802" s="11" t="s">
        <v>191</v>
      </c>
      <c r="Z802" s="11" t="s">
        <v>217</v>
      </c>
      <c r="AA802" s="11">
        <f>INDEX(Bandwidth!$B$290:$T$306,MATCH(dataforsankey!$AB802,Bandwidth!$A$290:$A$306,0),MATCH(dataforsankey!$Z802,Bandwidth!$B$289:$T$289,0))</f>
        <v>0</v>
      </c>
      <c r="AB802" s="28" t="s">
        <v>127</v>
      </c>
      <c r="AE802" s="11" t="s">
        <v>191</v>
      </c>
      <c r="AF802" s="11" t="s">
        <v>217</v>
      </c>
      <c r="AG802" s="11">
        <f>INDEX(Bandwidth!$B$353:$T$369,MATCH(dataforsankey!$AH802,Bandwidth!$A$290:$A$306,0),MATCH(dataforsankey!$AF802,Bandwidth!$B$289:$T$289,0))</f>
        <v>0</v>
      </c>
      <c r="AH802" s="28" t="s">
        <v>11</v>
      </c>
    </row>
    <row r="803" spans="13:34" ht="17" x14ac:dyDescent="0.2">
      <c r="M803" t="s">
        <v>335</v>
      </c>
      <c r="N803" t="s">
        <v>358</v>
      </c>
      <c r="O803" s="11">
        <f>INDEX(EndOfLife!$L$64:$P$78,MATCH(dataforsankey!$P803,EndOfLife!$A$64:$A$78,0),MATCH(dataforsankey!$N803,EndOfLife!$L$63:$P$63,0))*INDEX(EndOfLife!$B$85:$C$99,MATCH(dataforsankey!$P803,EndOfLife!$A$85:$A$99,0),MATCH(dataforsankey!$M803,EndOfLife!$B$84:$C$84,0))</f>
        <v>0</v>
      </c>
      <c r="P803" t="s">
        <v>25</v>
      </c>
      <c r="S803" t="s">
        <v>872</v>
      </c>
      <c r="T803" t="s">
        <v>99</v>
      </c>
      <c r="U803" s="11">
        <f t="shared" si="60"/>
        <v>1.5940084389842124E-2</v>
      </c>
      <c r="V803" t="s">
        <v>7</v>
      </c>
      <c r="Y803" s="11" t="s">
        <v>191</v>
      </c>
      <c r="Z803" s="11" t="s">
        <v>218</v>
      </c>
      <c r="AA803" s="11">
        <f>INDEX(Bandwidth!$B$290:$T$306,MATCH(dataforsankey!$AB803,Bandwidth!$A$290:$A$306,0),MATCH(dataforsankey!$Z803,Bandwidth!$B$289:$T$289,0))</f>
        <v>0</v>
      </c>
      <c r="AB803" s="28" t="s">
        <v>127</v>
      </c>
      <c r="AE803" s="11" t="s">
        <v>191</v>
      </c>
      <c r="AF803" s="11" t="s">
        <v>218</v>
      </c>
      <c r="AG803" s="11">
        <f>INDEX(Bandwidth!$B$353:$T$369,MATCH(dataforsankey!$AH803,Bandwidth!$A$290:$A$306,0),MATCH(dataforsankey!$AF803,Bandwidth!$B$289:$T$289,0))</f>
        <v>0</v>
      </c>
      <c r="AH803" s="28" t="s">
        <v>11</v>
      </c>
    </row>
    <row r="804" spans="13:34" ht="17" x14ac:dyDescent="0.2">
      <c r="M804" t="s">
        <v>330</v>
      </c>
      <c r="N804" t="s">
        <v>191</v>
      </c>
      <c r="O804" s="11">
        <f>INDEX(EndOfLife!$L$64:$P$78,MATCH(dataforsankey!$P804,EndOfLife!$A$64:$A$78,0),MATCH(dataforsankey!$N804,EndOfLife!$L$63:$P$63,0))*INDEX(EndOfLife!$B$85:$C$99,MATCH(dataforsankey!$P804,EndOfLife!$A$85:$A$99,0),MATCH(dataforsankey!$M804,EndOfLife!$B$84:$C$84,0))</f>
        <v>5.0706382187748851E-3</v>
      </c>
      <c r="P804" t="s">
        <v>7</v>
      </c>
      <c r="S804" t="s">
        <v>872</v>
      </c>
      <c r="T804" t="s">
        <v>69</v>
      </c>
      <c r="U804" s="11">
        <f t="shared" si="60"/>
        <v>1.5940084389842124E-2</v>
      </c>
      <c r="V804" t="s">
        <v>7</v>
      </c>
      <c r="Y804" s="11" t="s">
        <v>191</v>
      </c>
      <c r="Z804" s="11" t="s">
        <v>219</v>
      </c>
      <c r="AA804" s="11">
        <f>INDEX(Bandwidth!$B$290:$T$306,MATCH(dataforsankey!$AB804,Bandwidth!$A$290:$A$306,0),MATCH(dataforsankey!$Z804,Bandwidth!$B$289:$T$289,0))</f>
        <v>0</v>
      </c>
      <c r="AB804" s="28" t="s">
        <v>127</v>
      </c>
      <c r="AE804" s="11" t="s">
        <v>191</v>
      </c>
      <c r="AF804" s="11" t="s">
        <v>219</v>
      </c>
      <c r="AG804" s="11">
        <f>INDEX(Bandwidth!$B$353:$T$369,MATCH(dataforsankey!$AH804,Bandwidth!$A$290:$A$306,0),MATCH(dataforsankey!$AF804,Bandwidth!$B$289:$T$289,0))</f>
        <v>0</v>
      </c>
      <c r="AH804" s="28" t="s">
        <v>11</v>
      </c>
    </row>
    <row r="805" spans="13:34" ht="17" x14ac:dyDescent="0.2">
      <c r="M805" t="s">
        <v>330</v>
      </c>
      <c r="N805" t="s">
        <v>333</v>
      </c>
      <c r="O805" s="11">
        <f>INDEX(EndOfLife!$L$64:$P$78,MATCH(dataforsankey!$P805,EndOfLife!$A$64:$A$78,0),MATCH(dataforsankey!$N805,EndOfLife!$L$63:$P$63,0))*INDEX(EndOfLife!$B$85:$C$99,MATCH(dataforsankey!$P805,EndOfLife!$A$85:$A$99,0),MATCH(dataforsankey!$M805,EndOfLife!$B$84:$C$84,0))</f>
        <v>5.6376020910516758E-2</v>
      </c>
      <c r="P805" t="s">
        <v>7</v>
      </c>
      <c r="S805" t="s">
        <v>872</v>
      </c>
      <c r="T805" t="s">
        <v>100</v>
      </c>
      <c r="U805" s="11">
        <f t="shared" si="60"/>
        <v>1.5940084389842124E-2</v>
      </c>
      <c r="V805" t="s">
        <v>7</v>
      </c>
      <c r="Y805" s="11" t="s">
        <v>191</v>
      </c>
      <c r="Z805" s="11" t="s">
        <v>302</v>
      </c>
      <c r="AA805" s="11">
        <f>INDEX(Bandwidth!$B$290:$T$306,MATCH(dataforsankey!$AB805,Bandwidth!$A$290:$A$306,0),MATCH(dataforsankey!$Z805,Bandwidth!$B$289:$T$289,0))</f>
        <v>0</v>
      </c>
      <c r="AB805" s="28" t="s">
        <v>127</v>
      </c>
      <c r="AE805" s="11" t="s">
        <v>191</v>
      </c>
      <c r="AF805" s="11" t="s">
        <v>302</v>
      </c>
      <c r="AG805" s="11">
        <f>INDEX(Bandwidth!$B$353:$T$369,MATCH(dataforsankey!$AH805,Bandwidth!$A$290:$A$306,0),MATCH(dataforsankey!$AF805,Bandwidth!$B$289:$T$289,0))</f>
        <v>0</v>
      </c>
      <c r="AH805" s="28" t="s">
        <v>11</v>
      </c>
    </row>
    <row r="806" spans="13:34" ht="17" x14ac:dyDescent="0.2">
      <c r="M806" t="s">
        <v>330</v>
      </c>
      <c r="N806" t="s">
        <v>6</v>
      </c>
      <c r="O806" s="11">
        <f>INDEX(EndOfLife!$L$64:$P$78,MATCH(dataforsankey!$P806,EndOfLife!$A$64:$A$78,0),MATCH(dataforsankey!$N806,EndOfLife!$L$63:$P$63,0))*INDEX(EndOfLife!$B$85:$C$99,MATCH(dataforsankey!$P806,EndOfLife!$A$85:$A$99,0),MATCH(dataforsankey!$M806,EndOfLife!$B$84:$C$84,0))</f>
        <v>1.3008648089815613</v>
      </c>
      <c r="P806" t="s">
        <v>7</v>
      </c>
      <c r="S806" t="s">
        <v>872</v>
      </c>
      <c r="T806" t="s">
        <v>39</v>
      </c>
      <c r="U806" s="11">
        <f t="shared" si="60"/>
        <v>1.5940084389842124E-2</v>
      </c>
      <c r="V806" t="s">
        <v>7</v>
      </c>
      <c r="Y806" s="11" t="s">
        <v>191</v>
      </c>
      <c r="Z806" s="11" t="s">
        <v>220</v>
      </c>
      <c r="AA806" s="11">
        <f>INDEX(Bandwidth!$B$290:$T$306,MATCH(dataforsankey!$AB806,Bandwidth!$A$290:$A$306,0),MATCH(dataforsankey!$Z806,Bandwidth!$B$289:$T$289,0))</f>
        <v>0</v>
      </c>
      <c r="AB806" s="28" t="s">
        <v>127</v>
      </c>
      <c r="AE806" s="11" t="s">
        <v>191</v>
      </c>
      <c r="AF806" s="11" t="s">
        <v>220</v>
      </c>
      <c r="AG806" s="11">
        <f>INDEX(Bandwidth!$B$353:$T$369,MATCH(dataforsankey!$AH806,Bandwidth!$A$290:$A$306,0),MATCH(dataforsankey!$AF806,Bandwidth!$B$289:$T$289,0))</f>
        <v>0</v>
      </c>
      <c r="AH806" s="28" t="s">
        <v>11</v>
      </c>
    </row>
    <row r="807" spans="13:34" ht="17" x14ac:dyDescent="0.2">
      <c r="M807" t="s">
        <v>330</v>
      </c>
      <c r="N807" t="s">
        <v>5</v>
      </c>
      <c r="O807" s="11">
        <f>INDEX(EndOfLife!$L$64:$P$78,MATCH(dataforsankey!$P807,EndOfLife!$A$64:$A$78,0),MATCH(dataforsankey!$N807,EndOfLife!$L$63:$P$63,0))*INDEX(EndOfLife!$B$85:$C$99,MATCH(dataforsankey!$P807,EndOfLife!$A$85:$A$99,0),MATCH(dataforsankey!$M807,EndOfLife!$B$84:$C$84,0))</f>
        <v>0.24846127271996937</v>
      </c>
      <c r="P807" t="s">
        <v>7</v>
      </c>
      <c r="S807" t="s">
        <v>872</v>
      </c>
      <c r="T807" t="s">
        <v>68</v>
      </c>
      <c r="U807" s="11">
        <f t="shared" si="60"/>
        <v>1.5940084389842124E-2</v>
      </c>
      <c r="V807" t="s">
        <v>7</v>
      </c>
      <c r="Y807" s="11" t="s">
        <v>191</v>
      </c>
      <c r="Z807" s="11" t="s">
        <v>221</v>
      </c>
      <c r="AA807" s="11">
        <f>INDEX(Bandwidth!$B$290:$T$306,MATCH(dataforsankey!$AB807,Bandwidth!$A$290:$A$306,0),MATCH(dataforsankey!$Z807,Bandwidth!$B$289:$T$289,0))</f>
        <v>0</v>
      </c>
      <c r="AB807" s="28" t="s">
        <v>127</v>
      </c>
      <c r="AE807" s="11" t="s">
        <v>191</v>
      </c>
      <c r="AF807" s="11" t="s">
        <v>221</v>
      </c>
      <c r="AG807" s="11">
        <f>INDEX(Bandwidth!$B$353:$T$369,MATCH(dataforsankey!$AH807,Bandwidth!$A$290:$A$306,0),MATCH(dataforsankey!$AF807,Bandwidth!$B$289:$T$289,0))</f>
        <v>0</v>
      </c>
      <c r="AH807" s="28" t="s">
        <v>11</v>
      </c>
    </row>
    <row r="808" spans="13:34" ht="17" x14ac:dyDescent="0.2">
      <c r="M808" t="s">
        <v>330</v>
      </c>
      <c r="N808" t="s">
        <v>358</v>
      </c>
      <c r="O808" s="11">
        <f>INDEX(EndOfLife!$L$64:$P$78,MATCH(dataforsankey!$P808,EndOfLife!$A$64:$A$78,0),MATCH(dataforsankey!$N808,EndOfLife!$L$63:$P$63,0))*INDEX(EndOfLife!$B$85:$C$99,MATCH(dataforsankey!$P808,EndOfLife!$A$85:$A$99,0),MATCH(dataforsankey!$M808,EndOfLife!$B$84:$C$84,0))</f>
        <v>0</v>
      </c>
      <c r="P808" t="s">
        <v>7</v>
      </c>
      <c r="S808" t="s">
        <v>872</v>
      </c>
      <c r="T808" t="s">
        <v>63</v>
      </c>
      <c r="U808" s="11">
        <f t="shared" si="60"/>
        <v>1.5940084389842124E-2</v>
      </c>
      <c r="V808" t="s">
        <v>7</v>
      </c>
      <c r="Y808" s="11" t="s">
        <v>191</v>
      </c>
      <c r="Z808" s="11" t="s">
        <v>222</v>
      </c>
      <c r="AA808" s="11">
        <f>INDEX(Bandwidth!$B$290:$T$306,MATCH(dataforsankey!$AB808,Bandwidth!$A$290:$A$306,0),MATCH(dataforsankey!$Z808,Bandwidth!$B$289:$T$289,0))</f>
        <v>1.7104148645049755</v>
      </c>
      <c r="AB808" s="28" t="s">
        <v>127</v>
      </c>
      <c r="AE808" s="11" t="s">
        <v>191</v>
      </c>
      <c r="AF808" s="11" t="s">
        <v>222</v>
      </c>
      <c r="AG808" s="11">
        <f>INDEX(Bandwidth!$B$353:$T$369,MATCH(dataforsankey!$AH808,Bandwidth!$A$290:$A$306,0),MATCH(dataforsankey!$AF808,Bandwidth!$B$289:$T$289,0))</f>
        <v>0</v>
      </c>
      <c r="AH808" s="28" t="s">
        <v>11</v>
      </c>
    </row>
    <row r="809" spans="13:34" ht="17" x14ac:dyDescent="0.2">
      <c r="M809" t="s">
        <v>335</v>
      </c>
      <c r="N809" t="s">
        <v>191</v>
      </c>
      <c r="O809" s="11">
        <f>INDEX(EndOfLife!$L$64:$P$78,MATCH(dataforsankey!$P809,EndOfLife!$A$64:$A$78,0),MATCH(dataforsankey!$N809,EndOfLife!$L$63:$P$63,0))*INDEX(EndOfLife!$B$85:$C$99,MATCH(dataforsankey!$P809,EndOfLife!$A$85:$A$99,0),MATCH(dataforsankey!$M809,EndOfLife!$B$84:$C$84,0))</f>
        <v>5.0705368080387241E-4</v>
      </c>
      <c r="P809" t="s">
        <v>7</v>
      </c>
      <c r="S809" t="s">
        <v>872</v>
      </c>
      <c r="T809" t="s">
        <v>92</v>
      </c>
      <c r="U809" s="11">
        <f t="shared" si="60"/>
        <v>1.5940084389842124E-2</v>
      </c>
      <c r="V809" t="s">
        <v>7</v>
      </c>
      <c r="Y809" s="11" t="s">
        <v>191</v>
      </c>
      <c r="Z809" s="11" t="s">
        <v>223</v>
      </c>
      <c r="AA809" s="11">
        <f>INDEX(Bandwidth!$B$290:$T$306,MATCH(dataforsankey!$AB809,Bandwidth!$A$290:$A$306,0),MATCH(dataforsankey!$Z809,Bandwidth!$B$289:$T$289,0))</f>
        <v>0</v>
      </c>
      <c r="AB809" s="28" t="s">
        <v>127</v>
      </c>
      <c r="AE809" s="11" t="s">
        <v>191</v>
      </c>
      <c r="AF809" s="11" t="s">
        <v>223</v>
      </c>
      <c r="AG809" s="11">
        <f>INDEX(Bandwidth!$B$353:$T$369,MATCH(dataforsankey!$AH809,Bandwidth!$A$290:$A$306,0),MATCH(dataforsankey!$AF809,Bandwidth!$B$289:$T$289,0))</f>
        <v>0</v>
      </c>
      <c r="AH809" s="28" t="s">
        <v>11</v>
      </c>
    </row>
    <row r="810" spans="13:34" ht="17" x14ac:dyDescent="0.2">
      <c r="M810" t="s">
        <v>335</v>
      </c>
      <c r="N810" t="s">
        <v>6</v>
      </c>
      <c r="O810" s="11">
        <f>INDEX(EndOfLife!$L$64:$P$78,MATCH(dataforsankey!$P810,EndOfLife!$A$64:$A$78,0),MATCH(dataforsankey!$N810,EndOfLife!$L$63:$P$63,0))*INDEX(EndOfLife!$B$85:$C$99,MATCH(dataforsankey!$P810,EndOfLife!$A$85:$A$99,0),MATCH(dataforsankey!$M810,EndOfLife!$B$84:$C$84,0))</f>
        <v>0.13008387922057171</v>
      </c>
      <c r="P810" t="s">
        <v>7</v>
      </c>
      <c r="S810" t="s">
        <v>872</v>
      </c>
      <c r="T810" t="s">
        <v>103</v>
      </c>
      <c r="U810" s="11">
        <f t="shared" si="60"/>
        <v>0</v>
      </c>
      <c r="V810" t="s">
        <v>7</v>
      </c>
      <c r="Y810" s="11" t="s">
        <v>191</v>
      </c>
      <c r="Z810" s="11" t="s">
        <v>224</v>
      </c>
      <c r="AA810" s="11">
        <f>INDEX(Bandwidth!$B$290:$T$306,MATCH(dataforsankey!$AB810,Bandwidth!$A$290:$A$306,0),MATCH(dataforsankey!$Z810,Bandwidth!$B$289:$T$289,0))</f>
        <v>0</v>
      </c>
      <c r="AB810" s="28" t="s">
        <v>127</v>
      </c>
      <c r="AE810" s="11" t="s">
        <v>191</v>
      </c>
      <c r="AF810" s="11" t="s">
        <v>224</v>
      </c>
      <c r="AG810" s="11">
        <f>INDEX(Bandwidth!$B$353:$T$369,MATCH(dataforsankey!$AH810,Bandwidth!$A$290:$A$306,0),MATCH(dataforsankey!$AF810,Bandwidth!$B$289:$T$289,0))</f>
        <v>0</v>
      </c>
      <c r="AH810" s="28" t="s">
        <v>11</v>
      </c>
    </row>
    <row r="811" spans="13:34" ht="17" x14ac:dyDescent="0.2">
      <c r="M811" t="s">
        <v>335</v>
      </c>
      <c r="N811" t="s">
        <v>5</v>
      </c>
      <c r="O811" s="11">
        <f>INDEX(EndOfLife!$L$64:$P$78,MATCH(dataforsankey!$P811,EndOfLife!$A$64:$A$78,0),MATCH(dataforsankey!$N811,EndOfLife!$L$63:$P$63,0))*INDEX(EndOfLife!$B$85:$C$99,MATCH(dataforsankey!$P811,EndOfLife!$A$85:$A$99,0),MATCH(dataforsankey!$M811,EndOfLife!$B$84:$C$84,0))</f>
        <v>2.4845630359389748E-2</v>
      </c>
      <c r="P811" t="s">
        <v>7</v>
      </c>
      <c r="S811" t="s">
        <v>872</v>
      </c>
      <c r="T811" t="s">
        <v>86</v>
      </c>
      <c r="U811" s="11">
        <f t="shared" si="60"/>
        <v>1.5940084389842124E-2</v>
      </c>
      <c r="V811" t="s">
        <v>7</v>
      </c>
      <c r="Y811" s="11" t="s">
        <v>191</v>
      </c>
      <c r="Z811" s="11" t="s">
        <v>225</v>
      </c>
      <c r="AA811" s="11">
        <f>INDEX(Bandwidth!$B$290:$T$306,MATCH(dataforsankey!$AB811,Bandwidth!$A$290:$A$306,0),MATCH(dataforsankey!$Z811,Bandwidth!$B$289:$T$289,0))</f>
        <v>0</v>
      </c>
      <c r="AB811" s="28" t="s">
        <v>127</v>
      </c>
      <c r="AE811" s="11" t="s">
        <v>191</v>
      </c>
      <c r="AF811" s="11" t="s">
        <v>225</v>
      </c>
      <c r="AG811" s="11">
        <f>INDEX(Bandwidth!$B$353:$T$369,MATCH(dataforsankey!$AH811,Bandwidth!$A$290:$A$306,0),MATCH(dataforsankey!$AF811,Bandwidth!$B$289:$T$289,0))</f>
        <v>0</v>
      </c>
      <c r="AH811" s="28" t="s">
        <v>11</v>
      </c>
    </row>
    <row r="812" spans="13:34" ht="17" x14ac:dyDescent="0.2">
      <c r="M812" t="s">
        <v>335</v>
      </c>
      <c r="N812" t="s">
        <v>358</v>
      </c>
      <c r="O812" s="11">
        <f>INDEX(EndOfLife!$L$64:$P$78,MATCH(dataforsankey!$P812,EndOfLife!$A$64:$A$78,0),MATCH(dataforsankey!$N812,EndOfLife!$L$63:$P$63,0))*INDEX(EndOfLife!$B$85:$C$99,MATCH(dataforsankey!$P812,EndOfLife!$A$85:$A$99,0),MATCH(dataforsankey!$M812,EndOfLife!$B$84:$C$84,0))</f>
        <v>0</v>
      </c>
      <c r="P812" t="s">
        <v>7</v>
      </c>
      <c r="S812" t="s">
        <v>872</v>
      </c>
      <c r="T812" t="s">
        <v>18</v>
      </c>
      <c r="U812" s="11">
        <f t="shared" si="60"/>
        <v>1.5940084389842124E-2</v>
      </c>
      <c r="V812" t="s">
        <v>7</v>
      </c>
      <c r="Y812" s="11" t="s">
        <v>191</v>
      </c>
      <c r="Z812" s="11" t="s">
        <v>226</v>
      </c>
      <c r="AA812" s="11">
        <f>INDEX(Bandwidth!$B$290:$T$306,MATCH(dataforsankey!$AB812,Bandwidth!$A$290:$A$306,0),MATCH(dataforsankey!$Z812,Bandwidth!$B$289:$T$289,0))</f>
        <v>0</v>
      </c>
      <c r="AB812" s="28" t="s">
        <v>127</v>
      </c>
      <c r="AE812" s="11" t="s">
        <v>191</v>
      </c>
      <c r="AF812" s="11" t="s">
        <v>226</v>
      </c>
      <c r="AG812" s="11">
        <f>INDEX(Bandwidth!$B$353:$T$369,MATCH(dataforsankey!$AH812,Bandwidth!$A$290:$A$306,0),MATCH(dataforsankey!$AF812,Bandwidth!$B$289:$T$289,0))</f>
        <v>1.348994062007423</v>
      </c>
      <c r="AH812" s="28" t="s">
        <v>11</v>
      </c>
    </row>
    <row r="813" spans="13:34" ht="17" x14ac:dyDescent="0.2">
      <c r="M813" t="s">
        <v>330</v>
      </c>
      <c r="N813" t="s">
        <v>191</v>
      </c>
      <c r="O813" s="11">
        <f>INDEX(EndOfLife!$L$64:$P$78,MATCH(dataforsankey!$P813,EndOfLife!$A$64:$A$78,0),MATCH(dataforsankey!$N813,EndOfLife!$L$63:$P$63,0))*INDEX(EndOfLife!$B$85:$C$99,MATCH(dataforsankey!$P813,EndOfLife!$A$85:$A$99,0),MATCH(dataforsankey!$M813,EndOfLife!$B$84:$C$84,0))</f>
        <v>0.70294973543236738</v>
      </c>
      <c r="P813" t="s">
        <v>2</v>
      </c>
      <c r="S813" t="s">
        <v>872</v>
      </c>
      <c r="T813" t="s">
        <v>38</v>
      </c>
      <c r="U813" s="11">
        <f t="shared" si="60"/>
        <v>0</v>
      </c>
      <c r="V813" t="s">
        <v>2</v>
      </c>
      <c r="Y813" s="11" t="s">
        <v>191</v>
      </c>
      <c r="Z813" s="11" t="s">
        <v>279</v>
      </c>
      <c r="AA813" s="11">
        <f>INDEX(Bandwidth!$B$290:$T$306,MATCH(dataforsankey!$AB813,Bandwidth!$A$290:$A$306,0),MATCH(dataforsankey!$Z813,Bandwidth!$B$289:$T$289,0))</f>
        <v>0</v>
      </c>
      <c r="AB813" s="28" t="s">
        <v>127</v>
      </c>
      <c r="AE813" s="11" t="s">
        <v>191</v>
      </c>
      <c r="AF813" s="11" t="s">
        <v>279</v>
      </c>
      <c r="AG813" s="11">
        <f>INDEX(Bandwidth!$B$353:$T$369,MATCH(dataforsankey!$AH813,Bandwidth!$A$290:$A$306,0),MATCH(dataforsankey!$AF813,Bandwidth!$B$289:$T$289,0))</f>
        <v>0</v>
      </c>
      <c r="AH813" s="28" t="s">
        <v>11</v>
      </c>
    </row>
    <row r="814" spans="13:34" ht="17" x14ac:dyDescent="0.2">
      <c r="M814" t="s">
        <v>330</v>
      </c>
      <c r="N814" t="s">
        <v>333</v>
      </c>
      <c r="O814" s="11">
        <f>INDEX(EndOfLife!$L$64:$P$78,MATCH(dataforsankey!$P814,EndOfLife!$A$64:$A$78,0),MATCH(dataforsankey!$N814,EndOfLife!$L$63:$P$63,0))*INDEX(EndOfLife!$B$85:$C$99,MATCH(dataforsankey!$P814,EndOfLife!$A$85:$A$99,0),MATCH(dataforsankey!$M814,EndOfLife!$B$84:$C$84,0))</f>
        <v>0</v>
      </c>
      <c r="P814" t="s">
        <v>2</v>
      </c>
      <c r="S814" t="s">
        <v>872</v>
      </c>
      <c r="T814" t="s">
        <v>99</v>
      </c>
      <c r="U814" s="11">
        <f t="shared" si="60"/>
        <v>0</v>
      </c>
      <c r="V814" t="s">
        <v>2</v>
      </c>
      <c r="Y814" t="s">
        <v>330</v>
      </c>
      <c r="Z814" s="11" t="s">
        <v>6</v>
      </c>
      <c r="AA814" s="11">
        <f>INDEX(Bandwidth!$B$290:$T$306,MATCH(dataforsankey!$AB814,Bandwidth!$A$290:$A$306,0),MATCH(dataforsankey!$Z814,Bandwidth!$B$289:$T$289,0))</f>
        <v>0</v>
      </c>
      <c r="AB814" s="28" t="s">
        <v>1</v>
      </c>
      <c r="AE814" t="s">
        <v>330</v>
      </c>
      <c r="AF814" s="11" t="s">
        <v>6</v>
      </c>
      <c r="AG814" s="11">
        <f>INDEX(Bandwidth!$B$353:$T$369,MATCH(dataforsankey!$AH814,Bandwidth!$A$290:$A$306,0),MATCH(dataforsankey!$AF814,Bandwidth!$B$289:$T$289,0))</f>
        <v>0</v>
      </c>
      <c r="AH814" s="28" t="s">
        <v>25</v>
      </c>
    </row>
    <row r="815" spans="13:34" ht="17" x14ac:dyDescent="0.2">
      <c r="M815" t="s">
        <v>330</v>
      </c>
      <c r="N815" t="s">
        <v>6</v>
      </c>
      <c r="O815" s="11">
        <f>INDEX(EndOfLife!$L$64:$P$78,MATCH(dataforsankey!$P815,EndOfLife!$A$64:$A$78,0),MATCH(dataforsankey!$N815,EndOfLife!$L$63:$P$63,0))*INDEX(EndOfLife!$B$85:$C$99,MATCH(dataforsankey!$P815,EndOfLife!$A$85:$A$99,0),MATCH(dataforsankey!$M815,EndOfLife!$B$84:$C$84,0))</f>
        <v>2.525839318992035</v>
      </c>
      <c r="P815" t="s">
        <v>2</v>
      </c>
      <c r="S815" t="s">
        <v>872</v>
      </c>
      <c r="T815" t="s">
        <v>69</v>
      </c>
      <c r="U815" s="11">
        <f t="shared" si="60"/>
        <v>0</v>
      </c>
      <c r="V815" t="s">
        <v>2</v>
      </c>
      <c r="Y815" s="177" t="s">
        <v>330</v>
      </c>
      <c r="Z815" s="178" t="s">
        <v>191</v>
      </c>
      <c r="AA815" s="178">
        <f>INDEX(Bandwidth!$B$290:$T$306,MATCH(dataforsankey!$AB815,Bandwidth!$A$290:$A$306,0),MATCH(dataforsankey!$Z815,Bandwidth!$B$289:$T$289,0))-INDEX($AG$974:$AG$990,MATCH($AB815,$AH$974:$AH$990,0),1)</f>
        <v>2.050603391915836</v>
      </c>
      <c r="AB815" s="181" t="s">
        <v>1</v>
      </c>
      <c r="AE815" s="177" t="s">
        <v>330</v>
      </c>
      <c r="AF815" s="178" t="s">
        <v>191</v>
      </c>
      <c r="AG815" s="178">
        <f>INDEX(Bandwidth!$T$353:$T$369,MATCH(dataforsankey!$AH815,Bandwidth!$A$353:$A$369,0),1)-INDEX($AG$974:$AG$990,MATCH($AH815,$AH$974:$AH$990,0),1)</f>
        <v>1.5111038158606542</v>
      </c>
      <c r="AH815" s="181" t="s">
        <v>25</v>
      </c>
    </row>
    <row r="816" spans="13:34" ht="17" x14ac:dyDescent="0.2">
      <c r="M816" t="s">
        <v>330</v>
      </c>
      <c r="N816" t="s">
        <v>5</v>
      </c>
      <c r="O816" s="11">
        <f>INDEX(EndOfLife!$L$64:$P$78,MATCH(dataforsankey!$P816,EndOfLife!$A$64:$A$78,0),MATCH(dataforsankey!$N816,EndOfLife!$L$63:$P$63,0))*INDEX(EndOfLife!$B$85:$C$99,MATCH(dataforsankey!$P816,EndOfLife!$A$85:$A$99,0),MATCH(dataforsankey!$M816,EndOfLife!$B$84:$C$84,0))</f>
        <v>0.58510470358379918</v>
      </c>
      <c r="P816" t="s">
        <v>2</v>
      </c>
      <c r="S816" t="s">
        <v>872</v>
      </c>
      <c r="T816" t="s">
        <v>100</v>
      </c>
      <c r="U816" s="11">
        <f t="shared" si="60"/>
        <v>0</v>
      </c>
      <c r="V816" t="s">
        <v>2</v>
      </c>
      <c r="Y816" s="11" t="s">
        <v>191</v>
      </c>
      <c r="Z816" s="11" t="s">
        <v>215</v>
      </c>
      <c r="AA816" s="11">
        <f>INDEX(Bandwidth!$B$290:$T$306,MATCH(dataforsankey!$AB816,Bandwidth!$A$290:$A$306,0),MATCH(dataforsankey!$Z816,Bandwidth!$B$289:$T$289,0))</f>
        <v>2.1148190559321778</v>
      </c>
      <c r="AB816" s="28" t="s">
        <v>1</v>
      </c>
      <c r="AE816" s="11" t="s">
        <v>191</v>
      </c>
      <c r="AF816" s="11" t="s">
        <v>215</v>
      </c>
      <c r="AG816" s="11">
        <f>INDEX(Bandwidth!$B$353:$T$369,MATCH(dataforsankey!$AH816,Bandwidth!$A$290:$A$306,0),MATCH(dataforsankey!$AF816,Bandwidth!$B$289:$T$289,0))</f>
        <v>0.34631661835866367</v>
      </c>
      <c r="AH816" s="28" t="s">
        <v>25</v>
      </c>
    </row>
    <row r="817" spans="13:34" ht="17" x14ac:dyDescent="0.2">
      <c r="M817" t="s">
        <v>330</v>
      </c>
      <c r="N817" t="s">
        <v>358</v>
      </c>
      <c r="O817" s="11">
        <f>INDEX(EndOfLife!$L$64:$P$78,MATCH(dataforsankey!$P817,EndOfLife!$A$64:$A$78,0),MATCH(dataforsankey!$N817,EndOfLife!$L$63:$P$63,0))*INDEX(EndOfLife!$B$85:$C$99,MATCH(dataforsankey!$P817,EndOfLife!$A$85:$A$99,0),MATCH(dataforsankey!$M817,EndOfLife!$B$84:$C$84,0))</f>
        <v>0</v>
      </c>
      <c r="P817" t="s">
        <v>2</v>
      </c>
      <c r="S817" t="s">
        <v>872</v>
      </c>
      <c r="T817" t="s">
        <v>39</v>
      </c>
      <c r="U817" s="11">
        <f t="shared" si="60"/>
        <v>0.46791364732991519</v>
      </c>
      <c r="V817" t="s">
        <v>2</v>
      </c>
      <c r="Y817" s="11" t="s">
        <v>191</v>
      </c>
      <c r="Z817" s="11" t="s">
        <v>216</v>
      </c>
      <c r="AA817" s="11">
        <f>INDEX(Bandwidth!$B$290:$T$306,MATCH(dataforsankey!$AB817,Bandwidth!$A$290:$A$306,0),MATCH(dataforsankey!$Z817,Bandwidth!$B$289:$T$289,0))</f>
        <v>0</v>
      </c>
      <c r="AB817" s="28" t="s">
        <v>1</v>
      </c>
      <c r="AE817" s="11" t="s">
        <v>191</v>
      </c>
      <c r="AF817" s="11" t="s">
        <v>216</v>
      </c>
      <c r="AG817" s="11">
        <f>INDEX(Bandwidth!$B$353:$T$369,MATCH(dataforsankey!$AH817,Bandwidth!$A$290:$A$306,0),MATCH(dataforsankey!$AF817,Bandwidth!$B$289:$T$289,0))</f>
        <v>0</v>
      </c>
      <c r="AH817" s="28" t="s">
        <v>25</v>
      </c>
    </row>
    <row r="818" spans="13:34" ht="17" x14ac:dyDescent="0.2">
      <c r="M818" t="s">
        <v>335</v>
      </c>
      <c r="N818" t="s">
        <v>191</v>
      </c>
      <c r="O818" s="11">
        <f>INDEX(EndOfLife!$L$64:$P$78,MATCH(dataforsankey!$P818,EndOfLife!$A$64:$A$78,0),MATCH(dataforsankey!$N818,EndOfLife!$L$63:$P$63,0))*INDEX(EndOfLife!$B$85:$C$99,MATCH(dataforsankey!$P818,EndOfLife!$A$85:$A$99,0),MATCH(dataforsankey!$M818,EndOfLife!$B$84:$C$84,0))</f>
        <v>0</v>
      </c>
      <c r="P818" t="s">
        <v>2</v>
      </c>
      <c r="S818" t="s">
        <v>872</v>
      </c>
      <c r="T818" t="s">
        <v>68</v>
      </c>
      <c r="U818" s="11">
        <f t="shared" si="60"/>
        <v>0</v>
      </c>
      <c r="V818" t="s">
        <v>2</v>
      </c>
      <c r="Y818" s="11" t="s">
        <v>191</v>
      </c>
      <c r="Z818" s="11" t="s">
        <v>217</v>
      </c>
      <c r="AA818" s="11">
        <f>INDEX(Bandwidth!$B$290:$T$306,MATCH(dataforsankey!$AB818,Bandwidth!$A$290:$A$306,0),MATCH(dataforsankey!$Z818,Bandwidth!$B$289:$T$289,0))</f>
        <v>0</v>
      </c>
      <c r="AB818" s="28" t="s">
        <v>1</v>
      </c>
      <c r="AE818" s="11" t="s">
        <v>191</v>
      </c>
      <c r="AF818" s="11" t="s">
        <v>217</v>
      </c>
      <c r="AG818" s="11">
        <f>INDEX(Bandwidth!$B$353:$T$369,MATCH(dataforsankey!$AH818,Bandwidth!$A$290:$A$306,0),MATCH(dataforsankey!$AF818,Bandwidth!$B$289:$T$289,0))</f>
        <v>0</v>
      </c>
      <c r="AH818" s="28" t="s">
        <v>25</v>
      </c>
    </row>
    <row r="819" spans="13:34" ht="17" x14ac:dyDescent="0.2">
      <c r="M819" t="s">
        <v>335</v>
      </c>
      <c r="N819" t="s">
        <v>6</v>
      </c>
      <c r="O819" s="11">
        <f>INDEX(EndOfLife!$L$64:$P$78,MATCH(dataforsankey!$P819,EndOfLife!$A$64:$A$78,0),MATCH(dataforsankey!$N819,EndOfLife!$L$63:$P$63,0))*INDEX(EndOfLife!$B$85:$C$99,MATCH(dataforsankey!$P819,EndOfLife!$A$85:$A$99,0),MATCH(dataforsankey!$M819,EndOfLife!$B$84:$C$84,0))</f>
        <v>0</v>
      </c>
      <c r="P819" t="s">
        <v>2</v>
      </c>
      <c r="S819" t="s">
        <v>872</v>
      </c>
      <c r="T819" t="s">
        <v>63</v>
      </c>
      <c r="U819" s="11">
        <f t="shared" si="60"/>
        <v>0</v>
      </c>
      <c r="V819" t="s">
        <v>2</v>
      </c>
      <c r="Y819" s="11" t="s">
        <v>191</v>
      </c>
      <c r="Z819" s="11" t="s">
        <v>218</v>
      </c>
      <c r="AA819" s="11">
        <f>INDEX(Bandwidth!$B$290:$T$306,MATCH(dataforsankey!$AB819,Bandwidth!$A$290:$A$306,0),MATCH(dataforsankey!$Z819,Bandwidth!$B$289:$T$289,0))</f>
        <v>0</v>
      </c>
      <c r="AB819" s="28" t="s">
        <v>1</v>
      </c>
      <c r="AE819" s="11" t="s">
        <v>191</v>
      </c>
      <c r="AF819" s="11" t="s">
        <v>218</v>
      </c>
      <c r="AG819" s="11">
        <f>INDEX(Bandwidth!$B$353:$T$369,MATCH(dataforsankey!$AH819,Bandwidth!$A$290:$A$306,0),MATCH(dataforsankey!$AF819,Bandwidth!$B$289:$T$289,0))</f>
        <v>0</v>
      </c>
      <c r="AH819" s="28" t="s">
        <v>25</v>
      </c>
    </row>
    <row r="820" spans="13:34" ht="17" x14ac:dyDescent="0.2">
      <c r="M820" t="s">
        <v>335</v>
      </c>
      <c r="N820" t="s">
        <v>5</v>
      </c>
      <c r="O820" s="11">
        <f>INDEX(EndOfLife!$L$64:$P$78,MATCH(dataforsankey!$P820,EndOfLife!$A$64:$A$78,0),MATCH(dataforsankey!$N820,EndOfLife!$L$63:$P$63,0))*INDEX(EndOfLife!$B$85:$C$99,MATCH(dataforsankey!$P820,EndOfLife!$A$85:$A$99,0),MATCH(dataforsankey!$M820,EndOfLife!$B$84:$C$84,0))</f>
        <v>0</v>
      </c>
      <c r="P820" t="s">
        <v>2</v>
      </c>
      <c r="S820" t="s">
        <v>872</v>
      </c>
      <c r="T820" t="s">
        <v>92</v>
      </c>
      <c r="U820" s="11">
        <f t="shared" si="60"/>
        <v>0</v>
      </c>
      <c r="V820" t="s">
        <v>2</v>
      </c>
      <c r="Y820" s="11" t="s">
        <v>191</v>
      </c>
      <c r="Z820" s="11" t="s">
        <v>219</v>
      </c>
      <c r="AA820" s="11">
        <f>INDEX(Bandwidth!$B$290:$T$306,MATCH(dataforsankey!$AB820,Bandwidth!$A$290:$A$306,0),MATCH(dataforsankey!$Z820,Bandwidth!$B$289:$T$289,0))</f>
        <v>0</v>
      </c>
      <c r="AB820" s="28" t="s">
        <v>1</v>
      </c>
      <c r="AE820" s="11" t="s">
        <v>191</v>
      </c>
      <c r="AF820" s="11" t="s">
        <v>219</v>
      </c>
      <c r="AG820" s="11">
        <f>INDEX(Bandwidth!$B$353:$T$369,MATCH(dataforsankey!$AH820,Bandwidth!$A$290:$A$306,0),MATCH(dataforsankey!$AF820,Bandwidth!$B$289:$T$289,0))</f>
        <v>0</v>
      </c>
      <c r="AH820" s="28" t="s">
        <v>25</v>
      </c>
    </row>
    <row r="821" spans="13:34" ht="17" x14ac:dyDescent="0.2">
      <c r="M821" t="s">
        <v>335</v>
      </c>
      <c r="N821" t="s">
        <v>358</v>
      </c>
      <c r="O821" s="11">
        <f>INDEX(EndOfLife!$L$64:$P$78,MATCH(dataforsankey!$P821,EndOfLife!$A$64:$A$78,0),MATCH(dataforsankey!$N821,EndOfLife!$L$63:$P$63,0))*INDEX(EndOfLife!$B$85:$C$99,MATCH(dataforsankey!$P821,EndOfLife!$A$85:$A$99,0),MATCH(dataforsankey!$M821,EndOfLife!$B$84:$C$84,0))</f>
        <v>0</v>
      </c>
      <c r="P821" t="s">
        <v>2</v>
      </c>
      <c r="S821" t="s">
        <v>872</v>
      </c>
      <c r="T821" t="s">
        <v>103</v>
      </c>
      <c r="U821" s="11">
        <f t="shared" si="60"/>
        <v>0</v>
      </c>
      <c r="V821" t="s">
        <v>2</v>
      </c>
      <c r="Y821" s="11" t="s">
        <v>191</v>
      </c>
      <c r="Z821" s="11" t="s">
        <v>302</v>
      </c>
      <c r="AA821" s="11">
        <f>INDEX(Bandwidth!$B$290:$T$306,MATCH(dataforsankey!$AB821,Bandwidth!$A$290:$A$306,0),MATCH(dataforsankey!$Z821,Bandwidth!$B$289:$T$289,0))</f>
        <v>0</v>
      </c>
      <c r="AB821" s="28" t="s">
        <v>1</v>
      </c>
      <c r="AE821" s="11" t="s">
        <v>191</v>
      </c>
      <c r="AF821" s="11" t="s">
        <v>302</v>
      </c>
      <c r="AG821" s="11">
        <f>INDEX(Bandwidth!$B$353:$T$369,MATCH(dataforsankey!$AH821,Bandwidth!$A$290:$A$306,0),MATCH(dataforsankey!$AF821,Bandwidth!$B$289:$T$289,0))</f>
        <v>0</v>
      </c>
      <c r="AH821" s="28" t="s">
        <v>25</v>
      </c>
    </row>
    <row r="822" spans="13:34" ht="17" x14ac:dyDescent="0.2">
      <c r="M822" t="s">
        <v>330</v>
      </c>
      <c r="N822" t="s">
        <v>191</v>
      </c>
      <c r="O822" s="11">
        <f>INDEX(EndOfLife!$L$64:$P$78,MATCH(dataforsankey!$P822,EndOfLife!$A$64:$A$78,0),MATCH(dataforsankey!$N822,EndOfLife!$L$63:$P$63,0))*INDEX(EndOfLife!$B$85:$C$99,MATCH(dataforsankey!$P822,EndOfLife!$A$85:$A$99,0),MATCH(dataforsankey!$M822,EndOfLife!$B$84:$C$84,0))</f>
        <v>0</v>
      </c>
      <c r="P822" t="s">
        <v>30</v>
      </c>
      <c r="S822" t="s">
        <v>872</v>
      </c>
      <c r="T822" t="s">
        <v>86</v>
      </c>
      <c r="U822" s="11">
        <f t="shared" si="60"/>
        <v>0.11624820951142711</v>
      </c>
      <c r="V822" t="s">
        <v>2</v>
      </c>
      <c r="Y822" s="11" t="s">
        <v>191</v>
      </c>
      <c r="Z822" s="11" t="s">
        <v>220</v>
      </c>
      <c r="AA822" s="11">
        <f>INDEX(Bandwidth!$B$290:$T$306,MATCH(dataforsankey!$AB822,Bandwidth!$A$290:$A$306,0),MATCH(dataforsankey!$Z822,Bandwidth!$B$289:$T$289,0))</f>
        <v>0</v>
      </c>
      <c r="AB822" s="28" t="s">
        <v>1</v>
      </c>
      <c r="AE822" s="11" t="s">
        <v>191</v>
      </c>
      <c r="AF822" s="11" t="s">
        <v>220</v>
      </c>
      <c r="AG822" s="11">
        <f>INDEX(Bandwidth!$B$353:$T$369,MATCH(dataforsankey!$AH822,Bandwidth!$A$290:$A$306,0),MATCH(dataforsankey!$AF822,Bandwidth!$B$289:$T$289,0))</f>
        <v>0</v>
      </c>
      <c r="AH822" s="28" t="s">
        <v>25</v>
      </c>
    </row>
    <row r="823" spans="13:34" ht="17" x14ac:dyDescent="0.2">
      <c r="M823" t="s">
        <v>330</v>
      </c>
      <c r="N823" t="s">
        <v>333</v>
      </c>
      <c r="O823" s="11">
        <f>INDEX(EndOfLife!$L$64:$P$78,MATCH(dataforsankey!$P823,EndOfLife!$A$64:$A$78,0),MATCH(dataforsankey!$N823,EndOfLife!$L$63:$P$63,0))*INDEX(EndOfLife!$B$85:$C$99,MATCH(dataforsankey!$P823,EndOfLife!$A$85:$A$99,0),MATCH(dataforsankey!$M823,EndOfLife!$B$84:$C$84,0))</f>
        <v>0</v>
      </c>
      <c r="P823" t="s">
        <v>30</v>
      </c>
      <c r="S823" t="s">
        <v>872</v>
      </c>
      <c r="T823" t="s">
        <v>18</v>
      </c>
      <c r="U823" s="11">
        <f t="shared" si="60"/>
        <v>0</v>
      </c>
      <c r="V823" t="s">
        <v>2</v>
      </c>
      <c r="Y823" s="11" t="s">
        <v>191</v>
      </c>
      <c r="Z823" s="11" t="s">
        <v>221</v>
      </c>
      <c r="AA823" s="11">
        <f>INDEX(Bandwidth!$B$290:$T$306,MATCH(dataforsankey!$AB823,Bandwidth!$A$290:$A$306,0),MATCH(dataforsankey!$Z823,Bandwidth!$B$289:$T$289,0))</f>
        <v>0</v>
      </c>
      <c r="AB823" s="28" t="s">
        <v>1</v>
      </c>
      <c r="AE823" s="11" t="s">
        <v>191</v>
      </c>
      <c r="AF823" s="11" t="s">
        <v>221</v>
      </c>
      <c r="AG823" s="11">
        <f>INDEX(Bandwidth!$B$353:$T$369,MATCH(dataforsankey!$AH823,Bandwidth!$A$290:$A$306,0),MATCH(dataforsankey!$AF823,Bandwidth!$B$289:$T$289,0))</f>
        <v>0</v>
      </c>
      <c r="AH823" s="28" t="s">
        <v>25</v>
      </c>
    </row>
    <row r="824" spans="13:34" ht="17" x14ac:dyDescent="0.2">
      <c r="M824" t="s">
        <v>330</v>
      </c>
      <c r="N824" t="s">
        <v>6</v>
      </c>
      <c r="O824" s="11">
        <f>INDEX(EndOfLife!$L$64:$P$78,MATCH(dataforsankey!$P824,EndOfLife!$A$64:$A$78,0),MATCH(dataforsankey!$N824,EndOfLife!$L$63:$P$63,0))*INDEX(EndOfLife!$B$85:$C$99,MATCH(dataforsankey!$P824,EndOfLife!$A$85:$A$99,0),MATCH(dataforsankey!$M824,EndOfLife!$B$84:$C$84,0))</f>
        <v>0.88371801454369669</v>
      </c>
      <c r="P824" t="s">
        <v>30</v>
      </c>
      <c r="S824" t="s">
        <v>872</v>
      </c>
      <c r="T824" t="s">
        <v>38</v>
      </c>
      <c r="U824" s="11">
        <f t="shared" si="60"/>
        <v>0</v>
      </c>
      <c r="V824" t="s">
        <v>30</v>
      </c>
      <c r="Y824" s="11" t="s">
        <v>191</v>
      </c>
      <c r="Z824" s="11" t="s">
        <v>222</v>
      </c>
      <c r="AA824" s="11">
        <f>INDEX(Bandwidth!$B$290:$T$306,MATCH(dataforsankey!$AB824,Bandwidth!$A$290:$A$306,0),MATCH(dataforsankey!$Z824,Bandwidth!$B$289:$T$289,0))</f>
        <v>0.23497989510357531</v>
      </c>
      <c r="AB824" s="28" t="s">
        <v>1</v>
      </c>
      <c r="AE824" s="11" t="s">
        <v>191</v>
      </c>
      <c r="AF824" s="11" t="s">
        <v>222</v>
      </c>
      <c r="AG824" s="11">
        <f>INDEX(Bandwidth!$B$353:$T$369,MATCH(dataforsankey!$AH824,Bandwidth!$A$290:$A$306,0),MATCH(dataforsankey!$AF824,Bandwidth!$B$289:$T$289,0))</f>
        <v>0</v>
      </c>
      <c r="AH824" s="28" t="s">
        <v>25</v>
      </c>
    </row>
    <row r="825" spans="13:34" ht="17" x14ac:dyDescent="0.2">
      <c r="M825" t="s">
        <v>330</v>
      </c>
      <c r="N825" t="s">
        <v>5</v>
      </c>
      <c r="O825" s="11">
        <f>INDEX(EndOfLife!$L$64:$P$78,MATCH(dataforsankey!$P825,EndOfLife!$A$64:$A$78,0),MATCH(dataforsankey!$N825,EndOfLife!$L$63:$P$63,0))*INDEX(EndOfLife!$B$85:$C$99,MATCH(dataforsankey!$P825,EndOfLife!$A$85:$A$99,0),MATCH(dataforsankey!$M825,EndOfLife!$B$84:$C$84,0))</f>
        <v>8.1034199237682805E-2</v>
      </c>
      <c r="P825" t="s">
        <v>30</v>
      </c>
      <c r="S825" t="s">
        <v>872</v>
      </c>
      <c r="T825" t="s">
        <v>99</v>
      </c>
      <c r="U825" s="11">
        <f t="shared" si="60"/>
        <v>0</v>
      </c>
      <c r="V825" t="s">
        <v>30</v>
      </c>
      <c r="Y825" s="11" t="s">
        <v>191</v>
      </c>
      <c r="Z825" s="11" t="s">
        <v>223</v>
      </c>
      <c r="AA825" s="11">
        <f>INDEX(Bandwidth!$B$290:$T$306,MATCH(dataforsankey!$AB825,Bandwidth!$A$290:$A$306,0),MATCH(dataforsankey!$Z825,Bandwidth!$B$289:$T$289,0))</f>
        <v>0</v>
      </c>
      <c r="AB825" s="28" t="s">
        <v>1</v>
      </c>
      <c r="AE825" s="11" t="s">
        <v>191</v>
      </c>
      <c r="AF825" s="11" t="s">
        <v>223</v>
      </c>
      <c r="AG825" s="11">
        <f>INDEX(Bandwidth!$B$353:$T$369,MATCH(dataforsankey!$AH825,Bandwidth!$A$290:$A$306,0),MATCH(dataforsankey!$AF825,Bandwidth!$B$289:$T$289,0))</f>
        <v>0</v>
      </c>
      <c r="AH825" s="28" t="s">
        <v>25</v>
      </c>
    </row>
    <row r="826" spans="13:34" ht="17" x14ac:dyDescent="0.2">
      <c r="M826" t="s">
        <v>330</v>
      </c>
      <c r="N826" t="s">
        <v>358</v>
      </c>
      <c r="O826" s="11">
        <f>INDEX(EndOfLife!$L$64:$P$78,MATCH(dataforsankey!$P826,EndOfLife!$A$64:$A$78,0),MATCH(dataforsankey!$N826,EndOfLife!$L$63:$P$63,0))*INDEX(EndOfLife!$B$85:$C$99,MATCH(dataforsankey!$P826,EndOfLife!$A$85:$A$99,0),MATCH(dataforsankey!$M826,EndOfLife!$B$84:$C$84,0))</f>
        <v>0</v>
      </c>
      <c r="P826" t="s">
        <v>30</v>
      </c>
      <c r="S826" t="s">
        <v>872</v>
      </c>
      <c r="T826" t="s">
        <v>69</v>
      </c>
      <c r="U826" s="11">
        <f t="shared" si="60"/>
        <v>0</v>
      </c>
      <c r="V826" t="s">
        <v>30</v>
      </c>
      <c r="Y826" s="11" t="s">
        <v>191</v>
      </c>
      <c r="Z826" s="11" t="s">
        <v>224</v>
      </c>
      <c r="AA826" s="11">
        <f>INDEX(Bandwidth!$B$290:$T$306,MATCH(dataforsankey!$AB826,Bandwidth!$A$290:$A$306,0),MATCH(dataforsankey!$Z826,Bandwidth!$B$289:$T$289,0))</f>
        <v>0</v>
      </c>
      <c r="AB826" s="28" t="s">
        <v>1</v>
      </c>
      <c r="AE826" s="11" t="s">
        <v>191</v>
      </c>
      <c r="AF826" s="11" t="s">
        <v>224</v>
      </c>
      <c r="AG826" s="11">
        <f>INDEX(Bandwidth!$B$353:$T$369,MATCH(dataforsankey!$AH826,Bandwidth!$A$290:$A$306,0),MATCH(dataforsankey!$AF826,Bandwidth!$B$289:$T$289,0))</f>
        <v>0</v>
      </c>
      <c r="AH826" s="28" t="s">
        <v>25</v>
      </c>
    </row>
    <row r="827" spans="13:34" ht="17" x14ac:dyDescent="0.2">
      <c r="M827" t="s">
        <v>335</v>
      </c>
      <c r="N827" t="s">
        <v>191</v>
      </c>
      <c r="O827" s="11">
        <f>INDEX(EndOfLife!$L$64:$P$78,MATCH(dataforsankey!$P827,EndOfLife!$A$64:$A$78,0),MATCH(dataforsankey!$N827,EndOfLife!$L$63:$P$63,0))*INDEX(EndOfLife!$B$85:$C$99,MATCH(dataforsankey!$P827,EndOfLife!$A$85:$A$99,0),MATCH(dataforsankey!$M827,EndOfLife!$B$84:$C$84,0))</f>
        <v>0</v>
      </c>
      <c r="P827" t="s">
        <v>30</v>
      </c>
      <c r="S827" t="s">
        <v>872</v>
      </c>
      <c r="T827" t="s">
        <v>100</v>
      </c>
      <c r="U827" s="11">
        <f t="shared" si="60"/>
        <v>0</v>
      </c>
      <c r="V827" t="s">
        <v>30</v>
      </c>
      <c r="Y827" s="11" t="s">
        <v>191</v>
      </c>
      <c r="Z827" s="11" t="s">
        <v>225</v>
      </c>
      <c r="AA827" s="11">
        <f>INDEX(Bandwidth!$B$290:$T$306,MATCH(dataforsankey!$AB827,Bandwidth!$A$290:$A$306,0),MATCH(dataforsankey!$Z827,Bandwidth!$B$289:$T$289,0))</f>
        <v>0</v>
      </c>
      <c r="AB827" s="28" t="s">
        <v>1</v>
      </c>
      <c r="AE827" s="11" t="s">
        <v>191</v>
      </c>
      <c r="AF827" s="11" t="s">
        <v>225</v>
      </c>
      <c r="AG827" s="11">
        <f>INDEX(Bandwidth!$B$353:$T$369,MATCH(dataforsankey!$AH827,Bandwidth!$A$290:$A$306,0),MATCH(dataforsankey!$AF827,Bandwidth!$B$289:$T$289,0))</f>
        <v>0</v>
      </c>
      <c r="AH827" s="28" t="s">
        <v>25</v>
      </c>
    </row>
    <row r="828" spans="13:34" ht="17" x14ac:dyDescent="0.2">
      <c r="M828" t="s">
        <v>335</v>
      </c>
      <c r="N828" t="s">
        <v>6</v>
      </c>
      <c r="O828" s="11">
        <f>INDEX(EndOfLife!$L$64:$P$78,MATCH(dataforsankey!$P828,EndOfLife!$A$64:$A$78,0),MATCH(dataforsankey!$N828,EndOfLife!$L$63:$P$63,0))*INDEX(EndOfLife!$B$85:$C$99,MATCH(dataforsankey!$P828,EndOfLife!$A$85:$A$99,0),MATCH(dataforsankey!$M828,EndOfLife!$B$84:$C$84,0))</f>
        <v>0.17462691305354489</v>
      </c>
      <c r="P828" t="s">
        <v>30</v>
      </c>
      <c r="S828" t="s">
        <v>872</v>
      </c>
      <c r="T828" t="s">
        <v>39</v>
      </c>
      <c r="U828" s="11">
        <f t="shared" si="60"/>
        <v>0</v>
      </c>
      <c r="V828" t="s">
        <v>30</v>
      </c>
      <c r="Y828" s="11" t="s">
        <v>191</v>
      </c>
      <c r="Z828" s="11" t="s">
        <v>226</v>
      </c>
      <c r="AA828" s="11">
        <f>INDEX(Bandwidth!$B$290:$T$306,MATCH(dataforsankey!$AB828,Bandwidth!$A$290:$A$306,0),MATCH(dataforsankey!$Z828,Bandwidth!$B$289:$T$289,0))</f>
        <v>0</v>
      </c>
      <c r="AB828" s="28" t="s">
        <v>1</v>
      </c>
      <c r="AE828" s="11" t="s">
        <v>191</v>
      </c>
      <c r="AF828" s="11" t="s">
        <v>226</v>
      </c>
      <c r="AG828" s="11">
        <f>INDEX(Bandwidth!$B$353:$T$369,MATCH(dataforsankey!$AH828,Bandwidth!$A$290:$A$306,0),MATCH(dataforsankey!$AF828,Bandwidth!$B$289:$T$289,0))</f>
        <v>1.3852664734346547</v>
      </c>
      <c r="AH828" s="28" t="s">
        <v>25</v>
      </c>
    </row>
    <row r="829" spans="13:34" ht="17" x14ac:dyDescent="0.2">
      <c r="M829" t="s">
        <v>335</v>
      </c>
      <c r="N829" t="s">
        <v>5</v>
      </c>
      <c r="O829" s="11">
        <f>INDEX(EndOfLife!$L$64:$P$78,MATCH(dataforsankey!$P829,EndOfLife!$A$64:$A$78,0),MATCH(dataforsankey!$N829,EndOfLife!$L$63:$P$63,0))*INDEX(EndOfLife!$B$85:$C$99,MATCH(dataforsankey!$P829,EndOfLife!$A$85:$A$99,0),MATCH(dataforsankey!$M829,EndOfLife!$B$84:$C$84,0))</f>
        <v>1.6012745957146902E-2</v>
      </c>
      <c r="P829" t="s">
        <v>30</v>
      </c>
      <c r="S829" t="s">
        <v>872</v>
      </c>
      <c r="T829" t="s">
        <v>68</v>
      </c>
      <c r="U829" s="11">
        <f t="shared" si="60"/>
        <v>0</v>
      </c>
      <c r="V829" t="s">
        <v>30</v>
      </c>
      <c r="Y829" s="11" t="s">
        <v>191</v>
      </c>
      <c r="Z829" s="11" t="s">
        <v>279</v>
      </c>
      <c r="AA829" s="11">
        <f>INDEX(Bandwidth!$B$290:$T$306,MATCH(dataforsankey!$AB829,Bandwidth!$A$290:$A$306,0),MATCH(dataforsankey!$Z829,Bandwidth!$B$289:$T$289,0))</f>
        <v>0</v>
      </c>
      <c r="AB829" s="28" t="s">
        <v>1</v>
      </c>
      <c r="AE829" s="11" t="s">
        <v>191</v>
      </c>
      <c r="AF829" s="11" t="s">
        <v>279</v>
      </c>
      <c r="AG829" s="11">
        <f>INDEX(Bandwidth!$B$353:$T$369,MATCH(dataforsankey!$AH829,Bandwidth!$A$290:$A$306,0),MATCH(dataforsankey!$AF829,Bandwidth!$B$289:$T$289,0))</f>
        <v>0</v>
      </c>
      <c r="AH829" s="28" t="s">
        <v>25</v>
      </c>
    </row>
    <row r="830" spans="13:34" ht="17" x14ac:dyDescent="0.2">
      <c r="M830" t="s">
        <v>335</v>
      </c>
      <c r="N830" t="s">
        <v>358</v>
      </c>
      <c r="O830" s="11">
        <f>INDEX(EndOfLife!$L$64:$P$78,MATCH(dataforsankey!$P830,EndOfLife!$A$64:$A$78,0),MATCH(dataforsankey!$N830,EndOfLife!$L$63:$P$63,0))*INDEX(EndOfLife!$B$85:$C$99,MATCH(dataforsankey!$P830,EndOfLife!$A$85:$A$99,0),MATCH(dataforsankey!$M830,EndOfLife!$B$84:$C$84,0))</f>
        <v>0</v>
      </c>
      <c r="P830" t="s">
        <v>30</v>
      </c>
      <c r="S830" t="s">
        <v>872</v>
      </c>
      <c r="T830" t="s">
        <v>63</v>
      </c>
      <c r="U830" s="11">
        <f t="shared" si="60"/>
        <v>0</v>
      </c>
      <c r="V830" t="s">
        <v>30</v>
      </c>
      <c r="Y830" t="s">
        <v>330</v>
      </c>
      <c r="Z830" s="11" t="s">
        <v>6</v>
      </c>
      <c r="AA830" s="11">
        <f>INDEX(Bandwidth!$B$290:$T$306,MATCH(dataforsankey!$AB830,Bandwidth!$A$290:$A$306,0),MATCH(dataforsankey!$Z830,Bandwidth!$B$289:$T$289,0))</f>
        <v>0</v>
      </c>
      <c r="AB830" s="28" t="s">
        <v>10</v>
      </c>
      <c r="AE830" t="s">
        <v>330</v>
      </c>
      <c r="AF830" s="11" t="s">
        <v>6</v>
      </c>
      <c r="AG830" s="11">
        <f>INDEX(Bandwidth!$B$353:$T$369,MATCH(dataforsankey!$AH830,Bandwidth!$A$290:$A$306,0),MATCH(dataforsankey!$AF830,Bandwidth!$B$289:$T$289,0))</f>
        <v>0</v>
      </c>
      <c r="AH830" s="28" t="s">
        <v>7</v>
      </c>
    </row>
    <row r="831" spans="13:34" ht="17" x14ac:dyDescent="0.2">
      <c r="M831" t="s">
        <v>330</v>
      </c>
      <c r="N831" t="s">
        <v>191</v>
      </c>
      <c r="O831" s="11">
        <f>INDEX(EndOfLife!$L$64:$P$78,MATCH(dataforsankey!$P831,EndOfLife!$A$64:$A$78,0),MATCH(dataforsankey!$N831,EndOfLife!$L$63:$P$63,0))*INDEX(EndOfLife!$B$85:$C$99,MATCH(dataforsankey!$P831,EndOfLife!$A$85:$A$99,0),MATCH(dataforsankey!$M831,EndOfLife!$B$84:$C$84,0))</f>
        <v>0</v>
      </c>
      <c r="P831" t="s">
        <v>31</v>
      </c>
      <c r="S831" t="s">
        <v>872</v>
      </c>
      <c r="T831" t="s">
        <v>92</v>
      </c>
      <c r="U831" s="11">
        <f t="shared" si="60"/>
        <v>0</v>
      </c>
      <c r="V831" t="s">
        <v>30</v>
      </c>
      <c r="Y831" s="177" t="s">
        <v>330</v>
      </c>
      <c r="Z831" s="178" t="s">
        <v>191</v>
      </c>
      <c r="AA831" s="178">
        <f>INDEX(Bandwidth!$B$290:$T$306,MATCH(dataforsankey!$AB831,Bandwidth!$A$290:$A$306,0),MATCH(dataforsankey!$Z831,Bandwidth!$B$289:$T$289,0))-INDEX($AG$974:$AG$990,MATCH($AB831,$AH$974:$AH$990,0),1)</f>
        <v>1.5773671406069707</v>
      </c>
      <c r="AB831" s="181" t="s">
        <v>10</v>
      </c>
      <c r="AE831" s="177" t="s">
        <v>330</v>
      </c>
      <c r="AF831" s="178" t="s">
        <v>191</v>
      </c>
      <c r="AG831" s="178">
        <f>INDEX(Bandwidth!$T$353:$T$369,MATCH(dataforsankey!$AH831,Bandwidth!$A$353:$A$369,0),1)-INDEX($AG$974:$AG$990,MATCH($AH831,$AH$974:$AH$990,0),1)</f>
        <v>1.5462408147586759</v>
      </c>
      <c r="AH831" s="181" t="s">
        <v>7</v>
      </c>
    </row>
    <row r="832" spans="13:34" ht="17" x14ac:dyDescent="0.2">
      <c r="M832" t="s">
        <v>330</v>
      </c>
      <c r="N832" t="s">
        <v>333</v>
      </c>
      <c r="O832" s="11">
        <f>INDEX(EndOfLife!$L$64:$P$78,MATCH(dataforsankey!$P832,EndOfLife!$A$64:$A$78,0),MATCH(dataforsankey!$N832,EndOfLife!$L$63:$P$63,0))*INDEX(EndOfLife!$B$85:$C$99,MATCH(dataforsankey!$P832,EndOfLife!$A$85:$A$99,0),MATCH(dataforsankey!$M832,EndOfLife!$B$84:$C$84,0))</f>
        <v>0.20769322838014198</v>
      </c>
      <c r="P832" t="s">
        <v>31</v>
      </c>
      <c r="S832" t="s">
        <v>872</v>
      </c>
      <c r="T832" t="s">
        <v>103</v>
      </c>
      <c r="U832" s="11">
        <f t="shared" si="60"/>
        <v>0</v>
      </c>
      <c r="V832" t="s">
        <v>30</v>
      </c>
      <c r="Y832" s="11" t="s">
        <v>191</v>
      </c>
      <c r="Z832" s="11" t="s">
        <v>215</v>
      </c>
      <c r="AA832" s="11">
        <f>INDEX(Bandwidth!$B$290:$T$306,MATCH(dataforsankey!$AB832,Bandwidth!$A$290:$A$306,0),MATCH(dataforsankey!$Z832,Bandwidth!$B$289:$T$289,0))</f>
        <v>0.27112719604937524</v>
      </c>
      <c r="AB832" s="28" t="s">
        <v>10</v>
      </c>
      <c r="AE832" s="11" t="s">
        <v>191</v>
      </c>
      <c r="AF832" s="11" t="s">
        <v>215</v>
      </c>
      <c r="AG832" s="11">
        <f>INDEX(Bandwidth!$B$353:$T$369,MATCH(dataforsankey!$AH832,Bandwidth!$A$290:$A$306,0),MATCH(dataforsankey!$AF832,Bandwidth!$B$289:$T$289,0))</f>
        <v>1.7718467934328523</v>
      </c>
      <c r="AH832" s="28" t="s">
        <v>7</v>
      </c>
    </row>
    <row r="833" spans="13:34" ht="17" x14ac:dyDescent="0.2">
      <c r="M833" t="s">
        <v>330</v>
      </c>
      <c r="N833" t="s">
        <v>6</v>
      </c>
      <c r="O833" s="11">
        <f>INDEX(EndOfLife!$L$64:$P$78,MATCH(dataforsankey!$P833,EndOfLife!$A$64:$A$78,0),MATCH(dataforsankey!$N833,EndOfLife!$L$63:$P$63,0))*INDEX(EndOfLife!$B$85:$C$99,MATCH(dataforsankey!$P833,EndOfLife!$A$85:$A$99,0),MATCH(dataforsankey!$M833,EndOfLife!$B$84:$C$84,0))</f>
        <v>0.69076283180579534</v>
      </c>
      <c r="P833" t="s">
        <v>31</v>
      </c>
      <c r="S833" t="s">
        <v>872</v>
      </c>
      <c r="T833" t="s">
        <v>86</v>
      </c>
      <c r="U833" s="11">
        <f t="shared" si="60"/>
        <v>0</v>
      </c>
      <c r="V833" t="s">
        <v>30</v>
      </c>
      <c r="Y833" s="11" t="s">
        <v>191</v>
      </c>
      <c r="Z833" s="11" t="s">
        <v>216</v>
      </c>
      <c r="AA833" s="11">
        <f>INDEX(Bandwidth!$B$290:$T$306,MATCH(dataforsankey!$AB833,Bandwidth!$A$290:$A$306,0),MATCH(dataforsankey!$Z833,Bandwidth!$B$289:$T$289,0))</f>
        <v>0</v>
      </c>
      <c r="AB833" s="28" t="s">
        <v>10</v>
      </c>
      <c r="AE833" s="11" t="s">
        <v>191</v>
      </c>
      <c r="AF833" s="11" t="s">
        <v>216</v>
      </c>
      <c r="AG833" s="11">
        <f>INDEX(Bandwidth!$B$353:$T$369,MATCH(dataforsankey!$AH833,Bandwidth!$A$290:$A$306,0),MATCH(dataforsankey!$AF833,Bandwidth!$B$289:$T$289,0))</f>
        <v>0</v>
      </c>
      <c r="AH833" s="28" t="s">
        <v>7</v>
      </c>
    </row>
    <row r="834" spans="13:34" ht="17" x14ac:dyDescent="0.2">
      <c r="M834" t="s">
        <v>330</v>
      </c>
      <c r="N834" t="s">
        <v>5</v>
      </c>
      <c r="O834" s="11">
        <f>INDEX(EndOfLife!$L$64:$P$78,MATCH(dataforsankey!$P834,EndOfLife!$A$64:$A$78,0),MATCH(dataforsankey!$N834,EndOfLife!$L$63:$P$63,0))*INDEX(EndOfLife!$B$85:$C$99,MATCH(dataforsankey!$P834,EndOfLife!$A$85:$A$99,0),MATCH(dataforsankey!$M834,EndOfLife!$B$84:$C$84,0))</f>
        <v>8.2385632282265531E-2</v>
      </c>
      <c r="P834" t="s">
        <v>31</v>
      </c>
      <c r="S834" t="s">
        <v>872</v>
      </c>
      <c r="T834" t="s">
        <v>18</v>
      </c>
      <c r="U834" s="11">
        <f t="shared" si="60"/>
        <v>0</v>
      </c>
      <c r="V834" t="s">
        <v>30</v>
      </c>
      <c r="Y834" s="11" t="s">
        <v>191</v>
      </c>
      <c r="Z834" s="11" t="s">
        <v>217</v>
      </c>
      <c r="AA834" s="11">
        <f>INDEX(Bandwidth!$B$290:$T$306,MATCH(dataforsankey!$AB834,Bandwidth!$A$290:$A$306,0),MATCH(dataforsankey!$Z834,Bandwidth!$B$289:$T$289,0))</f>
        <v>0</v>
      </c>
      <c r="AB834" s="28" t="s">
        <v>10</v>
      </c>
      <c r="AE834" s="11" t="s">
        <v>191</v>
      </c>
      <c r="AF834" s="11" t="s">
        <v>217</v>
      </c>
      <c r="AG834" s="11">
        <f>INDEX(Bandwidth!$B$353:$T$369,MATCH(dataforsankey!$AH834,Bandwidth!$A$290:$A$306,0),MATCH(dataforsankey!$AF834,Bandwidth!$B$289:$T$289,0))</f>
        <v>0</v>
      </c>
      <c r="AH834" s="28" t="s">
        <v>7</v>
      </c>
    </row>
    <row r="835" spans="13:34" ht="17" x14ac:dyDescent="0.2">
      <c r="M835" t="s">
        <v>330</v>
      </c>
      <c r="N835" t="s">
        <v>358</v>
      </c>
      <c r="O835" s="11">
        <f>INDEX(EndOfLife!$L$64:$P$78,MATCH(dataforsankey!$P835,EndOfLife!$A$64:$A$78,0),MATCH(dataforsankey!$N835,EndOfLife!$L$63:$P$63,0))*INDEX(EndOfLife!$B$85:$C$99,MATCH(dataforsankey!$P835,EndOfLife!$A$85:$A$99,0),MATCH(dataforsankey!$M835,EndOfLife!$B$84:$C$84,0))</f>
        <v>0</v>
      </c>
      <c r="P835" t="s">
        <v>31</v>
      </c>
      <c r="S835" t="s">
        <v>872</v>
      </c>
      <c r="T835" t="s">
        <v>38</v>
      </c>
      <c r="U835" s="11">
        <f t="shared" si="60"/>
        <v>5.1827690172780612E-3</v>
      </c>
      <c r="V835" t="s">
        <v>31</v>
      </c>
      <c r="Y835" s="11" t="s">
        <v>191</v>
      </c>
      <c r="Z835" s="11" t="s">
        <v>218</v>
      </c>
      <c r="AA835" s="11">
        <f>INDEX(Bandwidth!$B$290:$T$306,MATCH(dataforsankey!$AB835,Bandwidth!$A$290:$A$306,0),MATCH(dataforsankey!$Z835,Bandwidth!$B$289:$T$289,0))</f>
        <v>0</v>
      </c>
      <c r="AB835" s="28" t="s">
        <v>10</v>
      </c>
      <c r="AE835" s="11" t="s">
        <v>191</v>
      </c>
      <c r="AF835" s="11" t="s">
        <v>218</v>
      </c>
      <c r="AG835" s="11">
        <f>INDEX(Bandwidth!$B$353:$T$369,MATCH(dataforsankey!$AH835,Bandwidth!$A$290:$A$306,0),MATCH(dataforsankey!$AF835,Bandwidth!$B$289:$T$289,0))</f>
        <v>0</v>
      </c>
      <c r="AH835" s="28" t="s">
        <v>7</v>
      </c>
    </row>
    <row r="836" spans="13:34" ht="17" x14ac:dyDescent="0.2">
      <c r="M836" t="s">
        <v>335</v>
      </c>
      <c r="N836" t="s">
        <v>191</v>
      </c>
      <c r="O836" s="11">
        <f>INDEX(EndOfLife!$L$64:$P$78,MATCH(dataforsankey!$P836,EndOfLife!$A$64:$A$78,0),MATCH(dataforsankey!$N836,EndOfLife!$L$63:$P$63,0))*INDEX(EndOfLife!$B$85:$C$99,MATCH(dataforsankey!$P836,EndOfLife!$A$85:$A$99,0),MATCH(dataforsankey!$M836,EndOfLife!$B$84:$C$84,0))</f>
        <v>0</v>
      </c>
      <c r="P836" t="s">
        <v>31</v>
      </c>
      <c r="S836" t="s">
        <v>872</v>
      </c>
      <c r="T836" t="s">
        <v>99</v>
      </c>
      <c r="U836" s="11">
        <f t="shared" si="60"/>
        <v>0</v>
      </c>
      <c r="V836" t="s">
        <v>31</v>
      </c>
      <c r="Y836" s="11" t="s">
        <v>191</v>
      </c>
      <c r="Z836" s="11" t="s">
        <v>219</v>
      </c>
      <c r="AA836" s="11">
        <f>INDEX(Bandwidth!$B$290:$T$306,MATCH(dataforsankey!$AB836,Bandwidth!$A$290:$A$306,0),MATCH(dataforsankey!$Z836,Bandwidth!$B$289:$T$289,0))</f>
        <v>0</v>
      </c>
      <c r="AB836" s="28" t="s">
        <v>10</v>
      </c>
      <c r="AE836" s="11" t="s">
        <v>191</v>
      </c>
      <c r="AF836" s="11" t="s">
        <v>219</v>
      </c>
      <c r="AG836" s="11">
        <f>INDEX(Bandwidth!$B$353:$T$369,MATCH(dataforsankey!$AH836,Bandwidth!$A$290:$A$306,0),MATCH(dataforsankey!$AF836,Bandwidth!$B$289:$T$289,0))</f>
        <v>0</v>
      </c>
      <c r="AH836" s="28" t="s">
        <v>7</v>
      </c>
    </row>
    <row r="837" spans="13:34" ht="17" x14ac:dyDescent="0.2">
      <c r="M837" t="s">
        <v>335</v>
      </c>
      <c r="N837" t="s">
        <v>6</v>
      </c>
      <c r="O837" s="11">
        <f>INDEX(EndOfLife!$L$64:$P$78,MATCH(dataforsankey!$P837,EndOfLife!$A$64:$A$78,0),MATCH(dataforsankey!$N837,EndOfLife!$L$63:$P$63,0))*INDEX(EndOfLife!$B$85:$C$99,MATCH(dataforsankey!$P837,EndOfLife!$A$85:$A$99,0),MATCH(dataforsankey!$M837,EndOfLife!$B$84:$C$84,0))</f>
        <v>0</v>
      </c>
      <c r="P837" t="s">
        <v>31</v>
      </c>
      <c r="S837" t="s">
        <v>872</v>
      </c>
      <c r="T837" t="s">
        <v>69</v>
      </c>
      <c r="U837" s="11">
        <f t="shared" si="60"/>
        <v>1.7103137757017599E-2</v>
      </c>
      <c r="V837" t="s">
        <v>31</v>
      </c>
      <c r="Y837" s="11" t="s">
        <v>191</v>
      </c>
      <c r="Z837" s="11" t="s">
        <v>302</v>
      </c>
      <c r="AA837" s="11">
        <f>INDEX(Bandwidth!$B$290:$T$306,MATCH(dataforsankey!$AB837,Bandwidth!$A$290:$A$306,0),MATCH(dataforsankey!$Z837,Bandwidth!$B$289:$T$289,0))</f>
        <v>0</v>
      </c>
      <c r="AB837" s="28" t="s">
        <v>10</v>
      </c>
      <c r="AE837" s="11" t="s">
        <v>191</v>
      </c>
      <c r="AF837" s="11" t="s">
        <v>302</v>
      </c>
      <c r="AG837" s="11">
        <f>INDEX(Bandwidth!$B$353:$T$369,MATCH(dataforsankey!$AH837,Bandwidth!$A$290:$A$306,0),MATCH(dataforsankey!$AF837,Bandwidth!$B$289:$T$289,0))</f>
        <v>0</v>
      </c>
      <c r="AH837" s="28" t="s">
        <v>7</v>
      </c>
    </row>
    <row r="838" spans="13:34" ht="17" x14ac:dyDescent="0.2">
      <c r="M838" t="s">
        <v>335</v>
      </c>
      <c r="N838" t="s">
        <v>5</v>
      </c>
      <c r="O838" s="11">
        <f>INDEX(EndOfLife!$L$64:$P$78,MATCH(dataforsankey!$P838,EndOfLife!$A$64:$A$78,0),MATCH(dataforsankey!$N838,EndOfLife!$L$63:$P$63,0))*INDEX(EndOfLife!$B$85:$C$99,MATCH(dataforsankey!$P838,EndOfLife!$A$85:$A$99,0),MATCH(dataforsankey!$M838,EndOfLife!$B$84:$C$84,0))</f>
        <v>0</v>
      </c>
      <c r="P838" t="s">
        <v>31</v>
      </c>
      <c r="S838" t="s">
        <v>872</v>
      </c>
      <c r="T838" t="s">
        <v>100</v>
      </c>
      <c r="U838" s="11">
        <f t="shared" si="60"/>
        <v>0</v>
      </c>
      <c r="V838" t="s">
        <v>31</v>
      </c>
      <c r="Y838" s="11" t="s">
        <v>191</v>
      </c>
      <c r="Z838" s="11" t="s">
        <v>220</v>
      </c>
      <c r="AA838" s="11">
        <f>INDEX(Bandwidth!$B$290:$T$306,MATCH(dataforsankey!$AB838,Bandwidth!$A$290:$A$306,0),MATCH(dataforsankey!$Z838,Bandwidth!$B$289:$T$289,0))</f>
        <v>0</v>
      </c>
      <c r="AB838" s="28" t="s">
        <v>10</v>
      </c>
      <c r="AE838" s="11" t="s">
        <v>191</v>
      </c>
      <c r="AF838" s="11" t="s">
        <v>220</v>
      </c>
      <c r="AG838" s="11">
        <f>INDEX(Bandwidth!$B$353:$T$369,MATCH(dataforsankey!$AH838,Bandwidth!$A$290:$A$306,0),MATCH(dataforsankey!$AF838,Bandwidth!$B$289:$T$289,0))</f>
        <v>0</v>
      </c>
      <c r="AH838" s="28" t="s">
        <v>7</v>
      </c>
    </row>
    <row r="839" spans="13:34" ht="17" x14ac:dyDescent="0.2">
      <c r="M839" t="s">
        <v>335</v>
      </c>
      <c r="N839" t="s">
        <v>358</v>
      </c>
      <c r="O839" s="11">
        <f>INDEX(EndOfLife!$L$64:$P$78,MATCH(dataforsankey!$P839,EndOfLife!$A$64:$A$78,0),MATCH(dataforsankey!$N839,EndOfLife!$L$63:$P$63,0))*INDEX(EndOfLife!$B$85:$C$99,MATCH(dataforsankey!$P839,EndOfLife!$A$85:$A$99,0),MATCH(dataforsankey!$M839,EndOfLife!$B$84:$C$84,0))</f>
        <v>0</v>
      </c>
      <c r="P839" t="s">
        <v>31</v>
      </c>
      <c r="S839" t="s">
        <v>872</v>
      </c>
      <c r="T839" t="s">
        <v>39</v>
      </c>
      <c r="U839" s="11">
        <f t="shared" si="60"/>
        <v>0</v>
      </c>
      <c r="V839" t="s">
        <v>31</v>
      </c>
      <c r="Y839" s="11" t="s">
        <v>191</v>
      </c>
      <c r="Z839" s="11" t="s">
        <v>221</v>
      </c>
      <c r="AA839" s="11">
        <f>INDEX(Bandwidth!$B$290:$T$306,MATCH(dataforsankey!$AB839,Bandwidth!$A$290:$A$306,0),MATCH(dataforsankey!$Z839,Bandwidth!$B$289:$T$289,0))</f>
        <v>0</v>
      </c>
      <c r="AB839" s="28" t="s">
        <v>10</v>
      </c>
      <c r="AE839" s="11" t="s">
        <v>191</v>
      </c>
      <c r="AF839" s="11" t="s">
        <v>221</v>
      </c>
      <c r="AG839" s="11">
        <f>INDEX(Bandwidth!$B$353:$T$369,MATCH(dataforsankey!$AH839,Bandwidth!$A$290:$A$306,0),MATCH(dataforsankey!$AF839,Bandwidth!$B$289:$T$289,0))</f>
        <v>0</v>
      </c>
      <c r="AH839" s="28" t="s">
        <v>7</v>
      </c>
    </row>
    <row r="840" spans="13:34" ht="17" x14ac:dyDescent="0.2">
      <c r="M840" t="s">
        <v>330</v>
      </c>
      <c r="N840" t="s">
        <v>191</v>
      </c>
      <c r="O840" s="11">
        <f>INDEX(EndOfLife!$L$64:$P$78,MATCH(dataforsankey!$P840,EndOfLife!$A$64:$A$78,0),MATCH(dataforsankey!$N840,EndOfLife!$L$63:$P$63,0))*INDEX(EndOfLife!$B$85:$C$99,MATCH(dataforsankey!$P840,EndOfLife!$A$85:$A$99,0),MATCH(dataforsankey!$M840,EndOfLife!$B$84:$C$84,0))</f>
        <v>0</v>
      </c>
      <c r="P840" t="s">
        <v>122</v>
      </c>
      <c r="S840" t="s">
        <v>872</v>
      </c>
      <c r="T840" t="s">
        <v>68</v>
      </c>
      <c r="U840" s="11">
        <f t="shared" si="60"/>
        <v>5.701045919005867E-2</v>
      </c>
      <c r="V840" t="s">
        <v>31</v>
      </c>
      <c r="Y840" s="11" t="s">
        <v>191</v>
      </c>
      <c r="Z840" s="11" t="s">
        <v>222</v>
      </c>
      <c r="AA840" s="11">
        <f>INDEX(Bandwidth!$B$290:$T$306,MATCH(dataforsankey!$AB840,Bandwidth!$A$290:$A$306,0),MATCH(dataforsankey!$Z840,Bandwidth!$B$289:$T$289,0))</f>
        <v>0.6326301241152088</v>
      </c>
      <c r="AB840" s="28" t="s">
        <v>10</v>
      </c>
      <c r="AE840" s="11" t="s">
        <v>191</v>
      </c>
      <c r="AF840" s="11" t="s">
        <v>222</v>
      </c>
      <c r="AG840" s="11">
        <f>INDEX(Bandwidth!$B$353:$T$369,MATCH(dataforsankey!$AH840,Bandwidth!$A$290:$A$306,0),MATCH(dataforsankey!$AF840,Bandwidth!$B$289:$T$289,0))</f>
        <v>0</v>
      </c>
      <c r="AH840" s="28" t="s">
        <v>7</v>
      </c>
    </row>
    <row r="841" spans="13:34" ht="17" x14ac:dyDescent="0.2">
      <c r="M841" t="s">
        <v>330</v>
      </c>
      <c r="N841" t="s">
        <v>333</v>
      </c>
      <c r="O841" s="11">
        <f>INDEX(EndOfLife!$L$64:$P$78,MATCH(dataforsankey!$P841,EndOfLife!$A$64:$A$78,0),MATCH(dataforsankey!$N841,EndOfLife!$L$63:$P$63,0))*INDEX(EndOfLife!$B$85:$C$99,MATCH(dataforsankey!$P841,EndOfLife!$A$85:$A$99,0),MATCH(dataforsankey!$M841,EndOfLife!$B$84:$C$84,0))</f>
        <v>0</v>
      </c>
      <c r="P841" t="s">
        <v>122</v>
      </c>
      <c r="S841" t="s">
        <v>872</v>
      </c>
      <c r="T841" t="s">
        <v>63</v>
      </c>
      <c r="U841" s="11">
        <f t="shared" si="60"/>
        <v>1.7103137757017599E-2</v>
      </c>
      <c r="V841" t="s">
        <v>31</v>
      </c>
      <c r="Y841" s="11" t="s">
        <v>191</v>
      </c>
      <c r="Z841" s="11" t="s">
        <v>223</v>
      </c>
      <c r="AA841" s="11">
        <f>INDEX(Bandwidth!$B$290:$T$306,MATCH(dataforsankey!$AB841,Bandwidth!$A$290:$A$306,0),MATCH(dataforsankey!$Z841,Bandwidth!$B$289:$T$289,0))</f>
        <v>0</v>
      </c>
      <c r="AB841" s="28" t="s">
        <v>10</v>
      </c>
      <c r="AE841" s="11" t="s">
        <v>191</v>
      </c>
      <c r="AF841" s="11" t="s">
        <v>223</v>
      </c>
      <c r="AG841" s="11">
        <f>INDEX(Bandwidth!$B$353:$T$369,MATCH(dataforsankey!$AH841,Bandwidth!$A$290:$A$306,0),MATCH(dataforsankey!$AF841,Bandwidth!$B$289:$T$289,0))</f>
        <v>0</v>
      </c>
      <c r="AH841" s="28" t="s">
        <v>7</v>
      </c>
    </row>
    <row r="842" spans="13:34" ht="17" x14ac:dyDescent="0.2">
      <c r="M842" t="s">
        <v>330</v>
      </c>
      <c r="N842" t="s">
        <v>6</v>
      </c>
      <c r="O842" s="11">
        <f>INDEX(EndOfLife!$L$64:$P$78,MATCH(dataforsankey!$P842,EndOfLife!$A$64:$A$78,0),MATCH(dataforsankey!$N842,EndOfLife!$L$63:$P$63,0))*INDEX(EndOfLife!$B$85:$C$99,MATCH(dataforsankey!$P842,EndOfLife!$A$85:$A$99,0),MATCH(dataforsankey!$M842,EndOfLife!$B$84:$C$84,0))</f>
        <v>0.54101126897570861</v>
      </c>
      <c r="P842" t="s">
        <v>122</v>
      </c>
      <c r="S842" t="s">
        <v>872</v>
      </c>
      <c r="T842" t="s">
        <v>92</v>
      </c>
      <c r="U842" s="11">
        <f t="shared" si="60"/>
        <v>0</v>
      </c>
      <c r="V842" t="s">
        <v>31</v>
      </c>
      <c r="Y842" s="11" t="s">
        <v>191</v>
      </c>
      <c r="Z842" s="11" t="s">
        <v>224</v>
      </c>
      <c r="AA842" s="11">
        <f>INDEX(Bandwidth!$B$290:$T$306,MATCH(dataforsankey!$AB842,Bandwidth!$A$290:$A$306,0),MATCH(dataforsankey!$Z842,Bandwidth!$B$289:$T$289,0))</f>
        <v>0</v>
      </c>
      <c r="AB842" s="28" t="s">
        <v>10</v>
      </c>
      <c r="AE842" s="11" t="s">
        <v>191</v>
      </c>
      <c r="AF842" s="11" t="s">
        <v>224</v>
      </c>
      <c r="AG842" s="11">
        <f>INDEX(Bandwidth!$B$353:$T$369,MATCH(dataforsankey!$AH842,Bandwidth!$A$290:$A$306,0),MATCH(dataforsankey!$AF842,Bandwidth!$B$289:$T$289,0))</f>
        <v>0</v>
      </c>
      <c r="AH842" s="28" t="s">
        <v>7</v>
      </c>
    </row>
    <row r="843" spans="13:34" ht="17" x14ac:dyDescent="0.2">
      <c r="M843" t="s">
        <v>330</v>
      </c>
      <c r="N843" t="s">
        <v>5</v>
      </c>
      <c r="O843" s="11">
        <f>INDEX(EndOfLife!$L$64:$P$78,MATCH(dataforsankey!$P843,EndOfLife!$A$64:$A$78,0),MATCH(dataforsankey!$N843,EndOfLife!$L$63:$P$63,0))*INDEX(EndOfLife!$B$85:$C$99,MATCH(dataforsankey!$P843,EndOfLife!$A$85:$A$99,0),MATCH(dataforsankey!$M843,EndOfLife!$B$84:$C$84,0))</f>
        <v>4.9609054289388853E-2</v>
      </c>
      <c r="P843" t="s">
        <v>122</v>
      </c>
      <c r="S843" t="s">
        <v>872</v>
      </c>
      <c r="T843" t="s">
        <v>103</v>
      </c>
      <c r="U843" s="11">
        <f t="shared" si="60"/>
        <v>0</v>
      </c>
      <c r="V843" t="s">
        <v>31</v>
      </c>
      <c r="Y843" s="11" t="s">
        <v>191</v>
      </c>
      <c r="Z843" s="11" t="s">
        <v>225</v>
      </c>
      <c r="AA843" s="11">
        <f>INDEX(Bandwidth!$B$290:$T$306,MATCH(dataforsankey!$AB843,Bandwidth!$A$290:$A$306,0),MATCH(dataforsankey!$Z843,Bandwidth!$B$289:$T$289,0))</f>
        <v>0.90375732016458399</v>
      </c>
      <c r="AB843" s="28" t="s">
        <v>10</v>
      </c>
      <c r="AE843" s="11" t="s">
        <v>191</v>
      </c>
      <c r="AF843" s="11" t="s">
        <v>225</v>
      </c>
      <c r="AG843" s="11">
        <f>INDEX(Bandwidth!$B$353:$T$369,MATCH(dataforsankey!$AH843,Bandwidth!$A$290:$A$306,0),MATCH(dataforsankey!$AF843,Bandwidth!$B$289:$T$289,0))</f>
        <v>0</v>
      </c>
      <c r="AH843" s="28" t="s">
        <v>7</v>
      </c>
    </row>
    <row r="844" spans="13:34" ht="17" x14ac:dyDescent="0.2">
      <c r="M844" t="s">
        <v>330</v>
      </c>
      <c r="N844" t="s">
        <v>358</v>
      </c>
      <c r="O844" s="11">
        <f>INDEX(EndOfLife!$L$64:$P$78,MATCH(dataforsankey!$P844,EndOfLife!$A$64:$A$78,0),MATCH(dataforsankey!$N844,EndOfLife!$L$63:$P$63,0))*INDEX(EndOfLife!$B$85:$C$99,MATCH(dataforsankey!$P844,EndOfLife!$A$85:$A$99,0),MATCH(dataforsankey!$M844,EndOfLife!$B$84:$C$84,0))</f>
        <v>0</v>
      </c>
      <c r="P844" t="s">
        <v>122</v>
      </c>
      <c r="S844" t="s">
        <v>872</v>
      </c>
      <c r="T844" t="s">
        <v>86</v>
      </c>
      <c r="U844" s="11">
        <f t="shared" si="60"/>
        <v>7.2558766241892685E-3</v>
      </c>
      <c r="V844" t="s">
        <v>31</v>
      </c>
      <c r="Y844" s="11" t="s">
        <v>191</v>
      </c>
      <c r="Z844" s="11" t="s">
        <v>226</v>
      </c>
      <c r="AA844" s="11">
        <f>INDEX(Bandwidth!$B$290:$T$306,MATCH(dataforsankey!$AB844,Bandwidth!$A$290:$A$306,0),MATCH(dataforsankey!$Z844,Bandwidth!$B$289:$T$289,0))</f>
        <v>0</v>
      </c>
      <c r="AB844" s="28" t="s">
        <v>10</v>
      </c>
      <c r="AE844" s="11" t="s">
        <v>191</v>
      </c>
      <c r="AF844" s="11" t="s">
        <v>226</v>
      </c>
      <c r="AG844" s="11">
        <f>INDEX(Bandwidth!$B$353:$T$369,MATCH(dataforsankey!$AH844,Bandwidth!$A$290:$A$306,0),MATCH(dataforsankey!$AF844,Bandwidth!$B$289:$T$289,0))</f>
        <v>0</v>
      </c>
      <c r="AH844" s="28" t="s">
        <v>7</v>
      </c>
    </row>
    <row r="845" spans="13:34" ht="17" x14ac:dyDescent="0.2">
      <c r="M845" t="s">
        <v>335</v>
      </c>
      <c r="N845" t="s">
        <v>191</v>
      </c>
      <c r="O845" s="11">
        <f>INDEX(EndOfLife!$L$64:$P$78,MATCH(dataforsankey!$P845,EndOfLife!$A$64:$A$78,0),MATCH(dataforsankey!$N845,EndOfLife!$L$63:$P$63,0))*INDEX(EndOfLife!$B$85:$C$99,MATCH(dataforsankey!$P845,EndOfLife!$A$85:$A$99,0),MATCH(dataforsankey!$M845,EndOfLife!$B$84:$C$84,0))</f>
        <v>0</v>
      </c>
      <c r="P845" t="s">
        <v>122</v>
      </c>
      <c r="S845" t="s">
        <v>872</v>
      </c>
      <c r="T845" t="s">
        <v>18</v>
      </c>
      <c r="U845" s="11">
        <f t="shared" si="60"/>
        <v>0</v>
      </c>
      <c r="V845" t="s">
        <v>31</v>
      </c>
      <c r="Y845" s="11" t="s">
        <v>191</v>
      </c>
      <c r="Z845" s="11" t="s">
        <v>279</v>
      </c>
      <c r="AA845" s="11">
        <f>INDEX(Bandwidth!$B$290:$T$306,MATCH(dataforsankey!$AB845,Bandwidth!$A$290:$A$306,0),MATCH(dataforsankey!$Z845,Bandwidth!$B$289:$T$289,0))</f>
        <v>0</v>
      </c>
      <c r="AB845" s="28" t="s">
        <v>10</v>
      </c>
      <c r="AE845" s="11" t="s">
        <v>191</v>
      </c>
      <c r="AF845" s="11" t="s">
        <v>279</v>
      </c>
      <c r="AG845" s="11">
        <f>INDEX(Bandwidth!$B$353:$T$369,MATCH(dataforsankey!$AH845,Bandwidth!$A$290:$A$306,0),MATCH(dataforsankey!$AF845,Bandwidth!$B$289:$T$289,0))</f>
        <v>0</v>
      </c>
      <c r="AH845" s="28" t="s">
        <v>7</v>
      </c>
    </row>
    <row r="846" spans="13:34" ht="17" x14ac:dyDescent="0.2">
      <c r="M846" t="s">
        <v>335</v>
      </c>
      <c r="N846" t="s">
        <v>6</v>
      </c>
      <c r="O846" s="11">
        <f>INDEX(EndOfLife!$L$64:$P$78,MATCH(dataforsankey!$P846,EndOfLife!$A$64:$A$78,0),MATCH(dataforsankey!$N846,EndOfLife!$L$63:$P$63,0))*INDEX(EndOfLife!$B$85:$C$99,MATCH(dataforsankey!$P846,EndOfLife!$A$85:$A$99,0),MATCH(dataforsankey!$M846,EndOfLife!$B$84:$C$84,0))</f>
        <v>0</v>
      </c>
      <c r="P846" t="s">
        <v>122</v>
      </c>
      <c r="S846" t="s">
        <v>872</v>
      </c>
      <c r="T846" t="s">
        <v>38</v>
      </c>
      <c r="U846" s="11">
        <f t="shared" si="60"/>
        <v>0</v>
      </c>
      <c r="V846" t="s">
        <v>122</v>
      </c>
      <c r="Y846" t="s">
        <v>330</v>
      </c>
      <c r="Z846" s="11" t="s">
        <v>6</v>
      </c>
      <c r="AA846" s="11">
        <f>INDEX(Bandwidth!$B$290:$T$306,MATCH(dataforsankey!$AB846,Bandwidth!$A$290:$A$306,0),MATCH(dataforsankey!$Z846,Bandwidth!$B$289:$T$289,0))</f>
        <v>0</v>
      </c>
      <c r="AB846" s="28" t="s">
        <v>11</v>
      </c>
      <c r="AE846" t="s">
        <v>330</v>
      </c>
      <c r="AF846" s="11" t="s">
        <v>6</v>
      </c>
      <c r="AG846" s="11">
        <f>INDEX(Bandwidth!$B$353:$T$369,MATCH(dataforsankey!$AH846,Bandwidth!$A$290:$A$306,0),MATCH(dataforsankey!$AF846,Bandwidth!$B$289:$T$289,0))</f>
        <v>0</v>
      </c>
      <c r="AH846" s="28" t="s">
        <v>2</v>
      </c>
    </row>
    <row r="847" spans="13:34" ht="17" x14ac:dyDescent="0.2">
      <c r="M847" t="s">
        <v>335</v>
      </c>
      <c r="N847" t="s">
        <v>5</v>
      </c>
      <c r="O847" s="11">
        <f>INDEX(EndOfLife!$L$64:$P$78,MATCH(dataforsankey!$P847,EndOfLife!$A$64:$A$78,0),MATCH(dataforsankey!$N847,EndOfLife!$L$63:$P$63,0))*INDEX(EndOfLife!$B$85:$C$99,MATCH(dataforsankey!$P847,EndOfLife!$A$85:$A$99,0),MATCH(dataforsankey!$M847,EndOfLife!$B$84:$C$84,0))</f>
        <v>0</v>
      </c>
      <c r="P847" t="s">
        <v>122</v>
      </c>
      <c r="S847" t="s">
        <v>872</v>
      </c>
      <c r="T847" t="s">
        <v>99</v>
      </c>
      <c r="U847" s="11">
        <f t="shared" si="60"/>
        <v>0</v>
      </c>
      <c r="V847" t="s">
        <v>122</v>
      </c>
      <c r="Y847" s="177" t="s">
        <v>330</v>
      </c>
      <c r="Z847" s="178" t="s">
        <v>191</v>
      </c>
      <c r="AA847" s="178">
        <f>INDEX(Bandwidth!$B$290:$T$306,MATCH(dataforsankey!$AB847,Bandwidth!$A$290:$A$306,0),MATCH(dataforsankey!$Z847,Bandwidth!$B$289:$T$289,0))-INDEX($AG$974:$AG$990,MATCH($AB847,$AH$974:$AH$990,0),1)</f>
        <v>1.4715364254926067</v>
      </c>
      <c r="AB847" s="181" t="s">
        <v>11</v>
      </c>
      <c r="AE847" s="177" t="s">
        <v>330</v>
      </c>
      <c r="AF847" s="178" t="s">
        <v>191</v>
      </c>
      <c r="AG847" s="178">
        <f>INDEX(Bandwidth!$T$353:$T$369,MATCH(dataforsankey!$AH847,Bandwidth!$A$353:$A$369,0),1)-INDEX($AG$974:$AG$990,MATCH($AH847,$AH$974:$AH$990,0),1)</f>
        <v>3.8138937580082022</v>
      </c>
      <c r="AH847" s="181" t="s">
        <v>2</v>
      </c>
    </row>
    <row r="848" spans="13:34" ht="17" x14ac:dyDescent="0.2">
      <c r="M848" t="s">
        <v>335</v>
      </c>
      <c r="N848" t="s">
        <v>358</v>
      </c>
      <c r="O848" s="11">
        <f>INDEX(EndOfLife!$L$64:$P$78,MATCH(dataforsankey!$P848,EndOfLife!$A$64:$A$78,0),MATCH(dataforsankey!$N848,EndOfLife!$L$63:$P$63,0))*INDEX(EndOfLife!$B$85:$C$99,MATCH(dataforsankey!$P848,EndOfLife!$A$85:$A$99,0),MATCH(dataforsankey!$M848,EndOfLife!$B$84:$C$84,0))</f>
        <v>0</v>
      </c>
      <c r="P848" t="s">
        <v>122</v>
      </c>
      <c r="S848" t="s">
        <v>872</v>
      </c>
      <c r="T848" t="s">
        <v>69</v>
      </c>
      <c r="U848" s="11">
        <f t="shared" si="60"/>
        <v>0</v>
      </c>
      <c r="V848" t="s">
        <v>122</v>
      </c>
      <c r="Y848" s="11" t="s">
        <v>191</v>
      </c>
      <c r="Z848" s="11" t="s">
        <v>215</v>
      </c>
      <c r="AA848" s="11">
        <f>INDEX(Bandwidth!$B$290:$T$306,MATCH(dataforsankey!$AB848,Bandwidth!$A$290:$A$306,0),MATCH(dataforsankey!$Z848,Bandwidth!$B$289:$T$289,0))</f>
        <v>0.25293638662639184</v>
      </c>
      <c r="AB848" s="28" t="s">
        <v>11</v>
      </c>
      <c r="AE848" s="11" t="s">
        <v>191</v>
      </c>
      <c r="AF848" s="11" t="s">
        <v>215</v>
      </c>
      <c r="AG848" s="11">
        <f>INDEX(Bandwidth!$B$353:$T$369,MATCH(dataforsankey!$AH848,Bandwidth!$A$290:$A$306,0),MATCH(dataforsankey!$AF848,Bandwidth!$B$289:$T$289,0))</f>
        <v>0.95347343950205043</v>
      </c>
      <c r="AH848" s="28" t="s">
        <v>2</v>
      </c>
    </row>
    <row r="849" spans="13:34" ht="17" x14ac:dyDescent="0.2">
      <c r="M849" t="s">
        <v>330</v>
      </c>
      <c r="N849" t="s">
        <v>191</v>
      </c>
      <c r="O849" s="11">
        <f>INDEX(EndOfLife!$L$64:$P$78,MATCH(dataforsankey!$P849,EndOfLife!$A$64:$A$78,0),MATCH(dataforsankey!$N849,EndOfLife!$L$63:$P$63,0))*INDEX(EndOfLife!$B$85:$C$99,MATCH(dataforsankey!$P849,EndOfLife!$A$85:$A$99,0),MATCH(dataforsankey!$M849,EndOfLife!$B$84:$C$84,0))</f>
        <v>0</v>
      </c>
      <c r="P849" t="s">
        <v>32</v>
      </c>
      <c r="S849" t="s">
        <v>872</v>
      </c>
      <c r="T849" t="s">
        <v>100</v>
      </c>
      <c r="U849" s="11">
        <f t="shared" si="60"/>
        <v>0</v>
      </c>
      <c r="V849" t="s">
        <v>122</v>
      </c>
      <c r="Y849" s="11" t="s">
        <v>191</v>
      </c>
      <c r="Z849" s="11" t="s">
        <v>216</v>
      </c>
      <c r="AA849" s="11">
        <f>INDEX(Bandwidth!$B$290:$T$306,MATCH(dataforsankey!$AB849,Bandwidth!$A$290:$A$306,0),MATCH(dataforsankey!$Z849,Bandwidth!$B$289:$T$289,0))</f>
        <v>0</v>
      </c>
      <c r="AB849" s="28" t="s">
        <v>11</v>
      </c>
      <c r="AE849" s="11" t="s">
        <v>191</v>
      </c>
      <c r="AF849" s="11" t="s">
        <v>216</v>
      </c>
      <c r="AG849" s="11">
        <f>INDEX(Bandwidth!$B$353:$T$369,MATCH(dataforsankey!$AH849,Bandwidth!$A$290:$A$306,0),MATCH(dataforsankey!$AF849,Bandwidth!$B$289:$T$289,0))</f>
        <v>0.26697256306057415</v>
      </c>
      <c r="AH849" s="28" t="s">
        <v>2</v>
      </c>
    </row>
    <row r="850" spans="13:34" ht="17" x14ac:dyDescent="0.2">
      <c r="M850" t="s">
        <v>330</v>
      </c>
      <c r="N850" t="s">
        <v>333</v>
      </c>
      <c r="O850" s="11">
        <f>INDEX(EndOfLife!$L$64:$P$78,MATCH(dataforsankey!$P850,EndOfLife!$A$64:$A$78,0),MATCH(dataforsankey!$N850,EndOfLife!$L$63:$P$63,0))*INDEX(EndOfLife!$B$85:$C$99,MATCH(dataforsankey!$P850,EndOfLife!$A$85:$A$99,0),MATCH(dataforsankey!$M850,EndOfLife!$B$84:$C$84,0))</f>
        <v>0.26780628148834112</v>
      </c>
      <c r="P850" t="s">
        <v>32</v>
      </c>
      <c r="S850" t="s">
        <v>872</v>
      </c>
      <c r="T850" t="s">
        <v>39</v>
      </c>
      <c r="U850" s="11">
        <f t="shared" si="60"/>
        <v>0</v>
      </c>
      <c r="V850" t="s">
        <v>122</v>
      </c>
      <c r="Y850" s="11" t="s">
        <v>191</v>
      </c>
      <c r="Z850" s="11" t="s">
        <v>217</v>
      </c>
      <c r="AA850" s="11">
        <f>INDEX(Bandwidth!$B$290:$T$306,MATCH(dataforsankey!$AB850,Bandwidth!$A$290:$A$306,0),MATCH(dataforsankey!$Z850,Bandwidth!$B$289:$T$289,0))</f>
        <v>0</v>
      </c>
      <c r="AB850" s="28" t="s">
        <v>11</v>
      </c>
      <c r="AE850" s="11" t="s">
        <v>191</v>
      </c>
      <c r="AF850" s="11" t="s">
        <v>217</v>
      </c>
      <c r="AG850" s="11">
        <f>INDEX(Bandwidth!$B$353:$T$369,MATCH(dataforsankey!$AH850,Bandwidth!$A$290:$A$306,0),MATCH(dataforsankey!$AF850,Bandwidth!$B$289:$T$289,0))</f>
        <v>0.61022300128131224</v>
      </c>
      <c r="AH850" s="28" t="s">
        <v>2</v>
      </c>
    </row>
    <row r="851" spans="13:34" ht="17" x14ac:dyDescent="0.2">
      <c r="M851" t="s">
        <v>330</v>
      </c>
      <c r="N851" t="s">
        <v>6</v>
      </c>
      <c r="O851" s="11">
        <f>INDEX(EndOfLife!$L$64:$P$78,MATCH(dataforsankey!$P851,EndOfLife!$A$64:$A$78,0),MATCH(dataforsankey!$N851,EndOfLife!$L$63:$P$63,0))*INDEX(EndOfLife!$B$85:$C$99,MATCH(dataforsankey!$P851,EndOfLife!$A$85:$A$99,0),MATCH(dataforsankey!$M851,EndOfLife!$B$84:$C$84,0))</f>
        <v>2.2808891794010639</v>
      </c>
      <c r="P851" t="s">
        <v>32</v>
      </c>
      <c r="S851" t="s">
        <v>872</v>
      </c>
      <c r="T851" t="s">
        <v>68</v>
      </c>
      <c r="U851" s="11">
        <f t="shared" si="60"/>
        <v>0</v>
      </c>
      <c r="V851" t="s">
        <v>122</v>
      </c>
      <c r="Y851" s="11" t="s">
        <v>191</v>
      </c>
      <c r="Z851" s="11" t="s">
        <v>218</v>
      </c>
      <c r="AA851" s="11">
        <f>INDEX(Bandwidth!$B$290:$T$306,MATCH(dataforsankey!$AB851,Bandwidth!$A$290:$A$306,0),MATCH(dataforsankey!$Z851,Bandwidth!$B$289:$T$289,0))</f>
        <v>0</v>
      </c>
      <c r="AB851" s="28" t="s">
        <v>11</v>
      </c>
      <c r="AE851" s="11" t="s">
        <v>191</v>
      </c>
      <c r="AF851" s="11" t="s">
        <v>218</v>
      </c>
      <c r="AG851" s="11">
        <f>INDEX(Bandwidth!$B$353:$T$369,MATCH(dataforsankey!$AH851,Bandwidth!$A$290:$A$306,0),MATCH(dataforsankey!$AF851,Bandwidth!$B$289:$T$289,0))</f>
        <v>0.26697256306057415</v>
      </c>
      <c r="AH851" s="28" t="s">
        <v>2</v>
      </c>
    </row>
    <row r="852" spans="13:34" ht="17" x14ac:dyDescent="0.2">
      <c r="M852" t="s">
        <v>330</v>
      </c>
      <c r="N852" t="s">
        <v>5</v>
      </c>
      <c r="O852" s="11">
        <f>INDEX(EndOfLife!$L$64:$P$78,MATCH(dataforsankey!$P852,EndOfLife!$A$64:$A$78,0),MATCH(dataforsankey!$N852,EndOfLife!$L$63:$P$63,0))*INDEX(EndOfLife!$B$85:$C$99,MATCH(dataforsankey!$P852,EndOfLife!$A$85:$A$99,0),MATCH(dataforsankey!$M852,EndOfLife!$B$84:$C$84,0))</f>
        <v>0.23370746366478828</v>
      </c>
      <c r="P852" t="s">
        <v>32</v>
      </c>
      <c r="S852" t="s">
        <v>872</v>
      </c>
      <c r="T852" t="s">
        <v>63</v>
      </c>
      <c r="U852" s="11">
        <f t="shared" si="60"/>
        <v>0</v>
      </c>
      <c r="V852" t="s">
        <v>122</v>
      </c>
      <c r="Y852" s="11" t="s">
        <v>191</v>
      </c>
      <c r="Z852" s="11" t="s">
        <v>219</v>
      </c>
      <c r="AA852" s="11">
        <f>INDEX(Bandwidth!$B$290:$T$306,MATCH(dataforsankey!$AB852,Bandwidth!$A$290:$A$306,0),MATCH(dataforsankey!$Z852,Bandwidth!$B$289:$T$289,0))</f>
        <v>0</v>
      </c>
      <c r="AB852" s="28" t="s">
        <v>11</v>
      </c>
      <c r="AE852" s="11" t="s">
        <v>191</v>
      </c>
      <c r="AF852" s="11" t="s">
        <v>219</v>
      </c>
      <c r="AG852" s="11">
        <f>INDEX(Bandwidth!$B$353:$T$369,MATCH(dataforsankey!$AH852,Bandwidth!$A$290:$A$306,0),MATCH(dataforsankey!$AF852,Bandwidth!$B$289:$T$289,0))</f>
        <v>0.45766725096098421</v>
      </c>
      <c r="AH852" s="28" t="s">
        <v>2</v>
      </c>
    </row>
    <row r="853" spans="13:34" ht="17" x14ac:dyDescent="0.2">
      <c r="M853" t="s">
        <v>330</v>
      </c>
      <c r="N853" t="s">
        <v>358</v>
      </c>
      <c r="O853" s="11">
        <f>INDEX(EndOfLife!$L$64:$P$78,MATCH(dataforsankey!$P853,EndOfLife!$A$64:$A$78,0),MATCH(dataforsankey!$N853,EndOfLife!$L$63:$P$63,0))*INDEX(EndOfLife!$B$85:$C$99,MATCH(dataforsankey!$P853,EndOfLife!$A$85:$A$99,0),MATCH(dataforsankey!$M853,EndOfLife!$B$84:$C$84,0))</f>
        <v>0</v>
      </c>
      <c r="P853" t="s">
        <v>32</v>
      </c>
      <c r="S853" t="s">
        <v>872</v>
      </c>
      <c r="T853" t="s">
        <v>92</v>
      </c>
      <c r="U853" s="11">
        <f t="shared" si="60"/>
        <v>0</v>
      </c>
      <c r="V853" t="s">
        <v>122</v>
      </c>
      <c r="Y853" s="11" t="s">
        <v>191</v>
      </c>
      <c r="Z853" s="11" t="s">
        <v>302</v>
      </c>
      <c r="AA853" s="11">
        <f>INDEX(Bandwidth!$B$290:$T$306,MATCH(dataforsankey!$AB853,Bandwidth!$A$290:$A$306,0),MATCH(dataforsankey!$Z853,Bandwidth!$B$289:$T$289,0))</f>
        <v>0</v>
      </c>
      <c r="AB853" s="28" t="s">
        <v>11</v>
      </c>
      <c r="AE853" s="11" t="s">
        <v>191</v>
      </c>
      <c r="AF853" s="11" t="s">
        <v>302</v>
      </c>
      <c r="AG853" s="11">
        <f>INDEX(Bandwidth!$B$353:$T$369,MATCH(dataforsankey!$AH853,Bandwidth!$A$290:$A$306,0),MATCH(dataforsankey!$AF853,Bandwidth!$B$289:$T$289,0))</f>
        <v>0.38138937580082022</v>
      </c>
      <c r="AH853" s="28" t="s">
        <v>2</v>
      </c>
    </row>
    <row r="854" spans="13:34" ht="17" x14ac:dyDescent="0.2">
      <c r="M854" t="s">
        <v>335</v>
      </c>
      <c r="N854" t="s">
        <v>191</v>
      </c>
      <c r="O854" s="11">
        <f>INDEX(EndOfLife!$L$64:$P$78,MATCH(dataforsankey!$P854,EndOfLife!$A$64:$A$78,0),MATCH(dataforsankey!$N854,EndOfLife!$L$63:$P$63,0))*INDEX(EndOfLife!$B$85:$C$99,MATCH(dataforsankey!$P854,EndOfLife!$A$85:$A$99,0),MATCH(dataforsankey!$M854,EndOfLife!$B$84:$C$84,0))</f>
        <v>0</v>
      </c>
      <c r="P854" t="s">
        <v>32</v>
      </c>
      <c r="S854" t="s">
        <v>872</v>
      </c>
      <c r="T854" t="s">
        <v>103</v>
      </c>
      <c r="U854" s="11">
        <f t="shared" si="60"/>
        <v>0</v>
      </c>
      <c r="V854" t="s">
        <v>122</v>
      </c>
      <c r="Y854" s="11" t="s">
        <v>191</v>
      </c>
      <c r="Z854" s="11" t="s">
        <v>220</v>
      </c>
      <c r="AA854" s="11">
        <f>INDEX(Bandwidth!$B$290:$T$306,MATCH(dataforsankey!$AB854,Bandwidth!$A$290:$A$306,0),MATCH(dataforsankey!$Z854,Bandwidth!$B$289:$T$289,0))</f>
        <v>0</v>
      </c>
      <c r="AB854" s="28" t="s">
        <v>11</v>
      </c>
      <c r="AE854" s="11" t="s">
        <v>191</v>
      </c>
      <c r="AF854" s="11" t="s">
        <v>220</v>
      </c>
      <c r="AG854" s="11">
        <f>INDEX(Bandwidth!$B$353:$T$369,MATCH(dataforsankey!$AH854,Bandwidth!$A$290:$A$306,0),MATCH(dataforsankey!$AF854,Bandwidth!$B$289:$T$289,0))</f>
        <v>0.26697256306057415</v>
      </c>
      <c r="AH854" s="28" t="s">
        <v>2</v>
      </c>
    </row>
    <row r="855" spans="13:34" ht="17" x14ac:dyDescent="0.2">
      <c r="M855" t="s">
        <v>335</v>
      </c>
      <c r="N855" t="s">
        <v>6</v>
      </c>
      <c r="O855" s="11">
        <f>INDEX(EndOfLife!$L$64:$P$78,MATCH(dataforsankey!$P855,EndOfLife!$A$64:$A$78,0),MATCH(dataforsankey!$N855,EndOfLife!$L$63:$P$63,0))*INDEX(EndOfLife!$B$85:$C$99,MATCH(dataforsankey!$P855,EndOfLife!$A$85:$A$99,0),MATCH(dataforsankey!$M855,EndOfLife!$B$84:$C$84,0))</f>
        <v>0.57022229485026599</v>
      </c>
      <c r="P855" t="s">
        <v>32</v>
      </c>
      <c r="S855" t="s">
        <v>872</v>
      </c>
      <c r="T855" t="s">
        <v>86</v>
      </c>
      <c r="U855" s="11">
        <f t="shared" ref="U855:U918" si="61">SUMIFS($O$23:$O$935,$M$23:$M$935,S855,$N$23:$N$935,T855,$P$23:$P$935,V855)</f>
        <v>0.10483072062519065</v>
      </c>
      <c r="V855" t="s">
        <v>122</v>
      </c>
      <c r="Y855" s="11" t="s">
        <v>191</v>
      </c>
      <c r="Z855" s="11" t="s">
        <v>221</v>
      </c>
      <c r="AA855" s="11">
        <f>INDEX(Bandwidth!$B$290:$T$306,MATCH(dataforsankey!$AB855,Bandwidth!$A$290:$A$306,0),MATCH(dataforsankey!$Z855,Bandwidth!$B$289:$T$289,0))</f>
        <v>0</v>
      </c>
      <c r="AB855" s="28" t="s">
        <v>11</v>
      </c>
      <c r="AE855" s="11" t="s">
        <v>191</v>
      </c>
      <c r="AF855" s="11" t="s">
        <v>221</v>
      </c>
      <c r="AG855" s="11">
        <f>INDEX(Bandwidth!$B$353:$T$369,MATCH(dataforsankey!$AH855,Bandwidth!$A$290:$A$306,0),MATCH(dataforsankey!$AF855,Bandwidth!$B$289:$T$289,0))</f>
        <v>0.61022300128131224</v>
      </c>
      <c r="AH855" s="28" t="s">
        <v>2</v>
      </c>
    </row>
    <row r="856" spans="13:34" ht="17" x14ac:dyDescent="0.2">
      <c r="M856" t="s">
        <v>335</v>
      </c>
      <c r="N856" t="s">
        <v>5</v>
      </c>
      <c r="O856" s="11">
        <f>INDEX(EndOfLife!$L$64:$P$78,MATCH(dataforsankey!$P856,EndOfLife!$A$64:$A$78,0),MATCH(dataforsankey!$N856,EndOfLife!$L$63:$P$63,0))*INDEX(EndOfLife!$B$85:$C$99,MATCH(dataforsankey!$P856,EndOfLife!$A$85:$A$99,0),MATCH(dataforsankey!$M856,EndOfLife!$B$84:$C$84,0))</f>
        <v>5.8426865916197071E-2</v>
      </c>
      <c r="P856" t="s">
        <v>32</v>
      </c>
      <c r="S856" t="s">
        <v>872</v>
      </c>
      <c r="T856" t="s">
        <v>18</v>
      </c>
      <c r="U856" s="11">
        <f t="shared" si="61"/>
        <v>0</v>
      </c>
      <c r="V856" t="s">
        <v>122</v>
      </c>
      <c r="Y856" s="11" t="s">
        <v>191</v>
      </c>
      <c r="Z856" s="11" t="s">
        <v>222</v>
      </c>
      <c r="AA856" s="11">
        <f>INDEX(Bandwidth!$B$290:$T$306,MATCH(dataforsankey!$AB856,Bandwidth!$A$290:$A$306,0),MATCH(dataforsankey!$Z856,Bandwidth!$B$289:$T$289,0))</f>
        <v>0.59018490212824748</v>
      </c>
      <c r="AB856" s="28" t="s">
        <v>11</v>
      </c>
      <c r="AE856" s="11" t="s">
        <v>191</v>
      </c>
      <c r="AF856" s="11" t="s">
        <v>222</v>
      </c>
      <c r="AG856" s="11">
        <f>INDEX(Bandwidth!$B$353:$T$369,MATCH(dataforsankey!$AH856,Bandwidth!$A$290:$A$306,0),MATCH(dataforsankey!$AF856,Bandwidth!$B$289:$T$289,0))</f>
        <v>0</v>
      </c>
      <c r="AH856" s="28" t="s">
        <v>2</v>
      </c>
    </row>
    <row r="857" spans="13:34" ht="17" x14ac:dyDescent="0.2">
      <c r="M857" t="s">
        <v>335</v>
      </c>
      <c r="N857" t="s">
        <v>358</v>
      </c>
      <c r="O857" s="11">
        <f>INDEX(EndOfLife!$L$64:$P$78,MATCH(dataforsankey!$P857,EndOfLife!$A$64:$A$78,0),MATCH(dataforsankey!$N857,EndOfLife!$L$63:$P$63,0))*INDEX(EndOfLife!$B$85:$C$99,MATCH(dataforsankey!$P857,EndOfLife!$A$85:$A$99,0),MATCH(dataforsankey!$M857,EndOfLife!$B$84:$C$84,0))</f>
        <v>0</v>
      </c>
      <c r="P857" t="s">
        <v>32</v>
      </c>
      <c r="S857" t="s">
        <v>872</v>
      </c>
      <c r="T857" t="s">
        <v>38</v>
      </c>
      <c r="U857" s="11">
        <f t="shared" si="61"/>
        <v>1.9120311854792973E-2</v>
      </c>
      <c r="V857" t="s">
        <v>32</v>
      </c>
      <c r="Y857" s="11" t="s">
        <v>191</v>
      </c>
      <c r="Z857" s="11" t="s">
        <v>223</v>
      </c>
      <c r="AA857" s="11">
        <f>INDEX(Bandwidth!$B$290:$T$306,MATCH(dataforsankey!$AB857,Bandwidth!$A$290:$A$306,0),MATCH(dataforsankey!$Z857,Bandwidth!$B$289:$T$289,0))</f>
        <v>0</v>
      </c>
      <c r="AB857" s="28" t="s">
        <v>11</v>
      </c>
      <c r="AE857" s="11" t="s">
        <v>191</v>
      </c>
      <c r="AF857" s="11" t="s">
        <v>223</v>
      </c>
      <c r="AG857" s="11">
        <f>INDEX(Bandwidth!$B$353:$T$369,MATCH(dataforsankey!$AH857,Bandwidth!$A$290:$A$306,0),MATCH(dataforsankey!$AF857,Bandwidth!$B$289:$T$289,0))</f>
        <v>0</v>
      </c>
      <c r="AH857" s="28" t="s">
        <v>2</v>
      </c>
    </row>
    <row r="858" spans="13:34" ht="17" x14ac:dyDescent="0.2">
      <c r="M858" t="s">
        <v>330</v>
      </c>
      <c r="N858" t="s">
        <v>191</v>
      </c>
      <c r="O858" s="11">
        <f>INDEX(EndOfLife!$L$64:$P$78,MATCH(dataforsankey!$P858,EndOfLife!$A$64:$A$78,0),MATCH(dataforsankey!$N858,EndOfLife!$L$63:$P$63,0))*INDEX(EndOfLife!$B$85:$C$99,MATCH(dataforsankey!$P858,EndOfLife!$A$85:$A$99,0),MATCH(dataforsankey!$M858,EndOfLife!$B$84:$C$84,0))</f>
        <v>0</v>
      </c>
      <c r="P858" t="s">
        <v>105</v>
      </c>
      <c r="S858" t="s">
        <v>872</v>
      </c>
      <c r="T858" t="s">
        <v>99</v>
      </c>
      <c r="U858" s="11">
        <f t="shared" si="61"/>
        <v>0</v>
      </c>
      <c r="V858" t="s">
        <v>32</v>
      </c>
      <c r="Y858" s="11" t="s">
        <v>191</v>
      </c>
      <c r="Z858" s="11" t="s">
        <v>224</v>
      </c>
      <c r="AA858" s="11">
        <f>INDEX(Bandwidth!$B$290:$T$306,MATCH(dataforsankey!$AB858,Bandwidth!$A$290:$A$306,0),MATCH(dataforsankey!$Z858,Bandwidth!$B$289:$T$289,0))</f>
        <v>0</v>
      </c>
      <c r="AB858" s="28" t="s">
        <v>11</v>
      </c>
      <c r="AE858" s="11" t="s">
        <v>191</v>
      </c>
      <c r="AF858" s="11" t="s">
        <v>224</v>
      </c>
      <c r="AG858" s="11">
        <f>INDEX(Bandwidth!$B$353:$T$369,MATCH(dataforsankey!$AH858,Bandwidth!$A$290:$A$306,0),MATCH(dataforsankey!$AF858,Bandwidth!$B$289:$T$289,0))</f>
        <v>0</v>
      </c>
      <c r="AH858" s="28" t="s">
        <v>2</v>
      </c>
    </row>
    <row r="859" spans="13:34" ht="17" x14ac:dyDescent="0.2">
      <c r="M859" t="s">
        <v>330</v>
      </c>
      <c r="N859" t="s">
        <v>333</v>
      </c>
      <c r="O859" s="11">
        <f>INDEX(EndOfLife!$L$64:$P$78,MATCH(dataforsankey!$P859,EndOfLife!$A$64:$A$78,0),MATCH(dataforsankey!$N859,EndOfLife!$L$63:$P$63,0))*INDEX(EndOfLife!$B$85:$C$99,MATCH(dataforsankey!$P859,EndOfLife!$A$85:$A$99,0),MATCH(dataforsankey!$M859,EndOfLife!$B$84:$C$84,0))</f>
        <v>0</v>
      </c>
      <c r="P859" t="s">
        <v>105</v>
      </c>
      <c r="S859" t="s">
        <v>872</v>
      </c>
      <c r="T859" t="s">
        <v>69</v>
      </c>
      <c r="U859" s="11">
        <f t="shared" si="61"/>
        <v>1.9120311854792973E-2</v>
      </c>
      <c r="V859" t="s">
        <v>32</v>
      </c>
      <c r="Y859" s="11" t="s">
        <v>191</v>
      </c>
      <c r="Z859" s="11" t="s">
        <v>225</v>
      </c>
      <c r="AA859" s="11">
        <f>INDEX(Bandwidth!$B$290:$T$306,MATCH(dataforsankey!$AB859,Bandwidth!$A$290:$A$306,0),MATCH(dataforsankey!$Z859,Bandwidth!$B$289:$T$289,0))</f>
        <v>0</v>
      </c>
      <c r="AB859" s="28" t="s">
        <v>11</v>
      </c>
      <c r="AE859" s="11" t="s">
        <v>191</v>
      </c>
      <c r="AF859" s="11" t="s">
        <v>225</v>
      </c>
      <c r="AG859" s="11">
        <f>INDEX(Bandwidth!$B$353:$T$369,MATCH(dataforsankey!$AH859,Bandwidth!$A$290:$A$306,0),MATCH(dataforsankey!$AF859,Bandwidth!$B$289:$T$289,0))</f>
        <v>0</v>
      </c>
      <c r="AH859" s="28" t="s">
        <v>2</v>
      </c>
    </row>
    <row r="860" spans="13:34" ht="17" x14ac:dyDescent="0.2">
      <c r="M860" t="s">
        <v>330</v>
      </c>
      <c r="N860" t="s">
        <v>6</v>
      </c>
      <c r="O860" s="11">
        <f>INDEX(EndOfLife!$L$64:$P$78,MATCH(dataforsankey!$P860,EndOfLife!$A$64:$A$78,0),MATCH(dataforsankey!$N860,EndOfLife!$L$63:$P$63,0))*INDEX(EndOfLife!$B$85:$C$99,MATCH(dataforsankey!$P860,EndOfLife!$A$85:$A$99,0),MATCH(dataforsankey!$M860,EndOfLife!$B$84:$C$84,0))</f>
        <v>5.922439807240313E-2</v>
      </c>
      <c r="P860" t="s">
        <v>105</v>
      </c>
      <c r="S860" t="s">
        <v>872</v>
      </c>
      <c r="T860" t="s">
        <v>100</v>
      </c>
      <c r="U860" s="11">
        <f t="shared" si="61"/>
        <v>0</v>
      </c>
      <c r="V860" t="s">
        <v>32</v>
      </c>
      <c r="Y860" s="11" t="s">
        <v>191</v>
      </c>
      <c r="Z860" s="11" t="s">
        <v>226</v>
      </c>
      <c r="AA860" s="11">
        <f>INDEX(Bandwidth!$B$290:$T$306,MATCH(dataforsankey!$AB860,Bandwidth!$A$290:$A$306,0),MATCH(dataforsankey!$Z860,Bandwidth!$B$289:$T$289,0))</f>
        <v>0.84312128875463932</v>
      </c>
      <c r="AB860" s="28" t="s">
        <v>11</v>
      </c>
      <c r="AE860" s="11" t="s">
        <v>191</v>
      </c>
      <c r="AF860" s="11" t="s">
        <v>226</v>
      </c>
      <c r="AG860" s="11">
        <f>INDEX(Bandwidth!$B$353:$T$369,MATCH(dataforsankey!$AH860,Bandwidth!$A$290:$A$306,0),MATCH(dataforsankey!$AF860,Bandwidth!$B$289:$T$289,0))</f>
        <v>0</v>
      </c>
      <c r="AH860" s="28" t="s">
        <v>2</v>
      </c>
    </row>
    <row r="861" spans="13:34" ht="17" x14ac:dyDescent="0.2">
      <c r="M861" t="s">
        <v>330</v>
      </c>
      <c r="N861" t="s">
        <v>5</v>
      </c>
      <c r="O861" s="11">
        <f>INDEX(EndOfLife!$L$64:$P$78,MATCH(dataforsankey!$P861,EndOfLife!$A$64:$A$78,0),MATCH(dataforsankey!$N861,EndOfLife!$L$63:$P$63,0))*INDEX(EndOfLife!$B$85:$C$99,MATCH(dataforsankey!$P861,EndOfLife!$A$85:$A$99,0),MATCH(dataforsankey!$M861,EndOfLife!$B$84:$C$84,0))</f>
        <v>5.9683154851572703E-2</v>
      </c>
      <c r="P861" t="s">
        <v>105</v>
      </c>
      <c r="S861" t="s">
        <v>872</v>
      </c>
      <c r="T861" t="s">
        <v>39</v>
      </c>
      <c r="U861" s="11">
        <f t="shared" si="61"/>
        <v>4.7800779636982434E-3</v>
      </c>
      <c r="V861" t="s">
        <v>32</v>
      </c>
      <c r="Y861" s="11" t="s">
        <v>191</v>
      </c>
      <c r="Z861" s="11" t="s">
        <v>279</v>
      </c>
      <c r="AA861" s="11">
        <f>INDEX(Bandwidth!$B$290:$T$306,MATCH(dataforsankey!$AB861,Bandwidth!$A$290:$A$306,0),MATCH(dataforsankey!$Z861,Bandwidth!$B$289:$T$289,0))</f>
        <v>0</v>
      </c>
      <c r="AB861" s="28" t="s">
        <v>11</v>
      </c>
      <c r="AE861" s="11" t="s">
        <v>191</v>
      </c>
      <c r="AF861" s="11" t="s">
        <v>279</v>
      </c>
      <c r="AG861" s="11">
        <f>INDEX(Bandwidth!$B$353:$T$369,MATCH(dataforsankey!$AH861,Bandwidth!$A$290:$A$306,0),MATCH(dataforsankey!$AF861,Bandwidth!$B$289:$T$289,0))</f>
        <v>0</v>
      </c>
      <c r="AH861" s="28" t="s">
        <v>2</v>
      </c>
    </row>
    <row r="862" spans="13:34" ht="17" x14ac:dyDescent="0.2">
      <c r="M862" t="s">
        <v>330</v>
      </c>
      <c r="N862" t="s">
        <v>358</v>
      </c>
      <c r="O862" s="11">
        <f>INDEX(EndOfLife!$L$64:$P$78,MATCH(dataforsankey!$P862,EndOfLife!$A$64:$A$78,0),MATCH(dataforsankey!$N862,EndOfLife!$L$63:$P$63,0))*INDEX(EndOfLife!$B$85:$C$99,MATCH(dataforsankey!$P862,EndOfLife!$A$85:$A$99,0),MATCH(dataforsankey!$M862,EndOfLife!$B$84:$C$84,0))</f>
        <v>5.3298445262799803E-2</v>
      </c>
      <c r="P862" t="s">
        <v>105</v>
      </c>
      <c r="S862" t="s">
        <v>872</v>
      </c>
      <c r="T862" t="s">
        <v>68</v>
      </c>
      <c r="U862" s="11">
        <f t="shared" si="61"/>
        <v>2.3900389818491213E-2</v>
      </c>
      <c r="V862" t="s">
        <v>32</v>
      </c>
      <c r="Y862" t="s">
        <v>330</v>
      </c>
      <c r="Z862" s="11" t="s">
        <v>6</v>
      </c>
      <c r="AA862" s="11">
        <f>INDEX(Bandwidth!$B$290:$T$306,MATCH(dataforsankey!$AB862,Bandwidth!$A$290:$A$306,0),MATCH(dataforsankey!$Z862,Bandwidth!$B$289:$T$289,0))</f>
        <v>0</v>
      </c>
      <c r="AB862" s="28" t="s">
        <v>25</v>
      </c>
      <c r="AE862" t="s">
        <v>330</v>
      </c>
      <c r="AF862" s="11" t="s">
        <v>6</v>
      </c>
      <c r="AG862" s="11">
        <f>INDEX(Bandwidth!$B$353:$T$369,MATCH(dataforsankey!$AH862,Bandwidth!$A$290:$A$306,0),MATCH(dataforsankey!$AF862,Bandwidth!$B$289:$T$289,0))</f>
        <v>0</v>
      </c>
      <c r="AH862" t="s">
        <v>30</v>
      </c>
    </row>
    <row r="863" spans="13:34" ht="17" x14ac:dyDescent="0.2">
      <c r="M863" t="s">
        <v>335</v>
      </c>
      <c r="N863" t="s">
        <v>191</v>
      </c>
      <c r="O863" s="11">
        <f>INDEX(EndOfLife!$L$64:$P$78,MATCH(dataforsankey!$P863,EndOfLife!$A$64:$A$78,0),MATCH(dataforsankey!$N863,EndOfLife!$L$63:$P$63,0))*INDEX(EndOfLife!$B$85:$C$99,MATCH(dataforsankey!$P863,EndOfLife!$A$85:$A$99,0),MATCH(dataforsankey!$M863,EndOfLife!$B$84:$C$84,0))</f>
        <v>0</v>
      </c>
      <c r="P863" t="s">
        <v>105</v>
      </c>
      <c r="S863" t="s">
        <v>872</v>
      </c>
      <c r="T863" t="s">
        <v>63</v>
      </c>
      <c r="U863" s="11">
        <f t="shared" si="61"/>
        <v>4.7800779636982434E-3</v>
      </c>
      <c r="V863" t="s">
        <v>32</v>
      </c>
      <c r="Y863" s="177" t="s">
        <v>330</v>
      </c>
      <c r="Z863" s="178" t="s">
        <v>191</v>
      </c>
      <c r="AA863" s="178">
        <f>INDEX(Bandwidth!$B$290:$T$306,MATCH(dataforsankey!$AB863,Bandwidth!$A$290:$A$306,0),MATCH(dataforsankey!$Z863,Bandwidth!$B$289:$T$289,0))-INDEX($AG$974:$AG$990,MATCH($AB863,$AH$974:$AH$990,0),1)</f>
        <v>1.5111038158606542</v>
      </c>
      <c r="AB863" s="181" t="s">
        <v>25</v>
      </c>
      <c r="AE863" s="177" t="s">
        <v>330</v>
      </c>
      <c r="AF863" s="178" t="s">
        <v>191</v>
      </c>
      <c r="AG863" s="178">
        <f>INDEX(Bandwidth!$T$353:$T$369,MATCH(dataforsankey!$AH863,Bandwidth!$A$353:$A$369,0),1)-INDEX($AG$974:$AG$990,MATCH($AH863,$AH$974:$AH$990,0),1)</f>
        <v>0.98373668248248181</v>
      </c>
      <c r="AH863" s="177" t="s">
        <v>30</v>
      </c>
    </row>
    <row r="864" spans="13:34" ht="17" x14ac:dyDescent="0.2">
      <c r="M864" t="s">
        <v>335</v>
      </c>
      <c r="N864" t="s">
        <v>6</v>
      </c>
      <c r="O864" s="11">
        <f>INDEX(EndOfLife!$L$64:$P$78,MATCH(dataforsankey!$P864,EndOfLife!$A$64:$A$78,0),MATCH(dataforsankey!$N864,EndOfLife!$L$63:$P$63,0))*INDEX(EndOfLife!$B$85:$C$99,MATCH(dataforsankey!$P864,EndOfLife!$A$85:$A$99,0),MATCH(dataforsankey!$M864,EndOfLife!$B$84:$C$84,0))</f>
        <v>0.24605600436266464</v>
      </c>
      <c r="P864" t="s">
        <v>105</v>
      </c>
      <c r="S864" t="s">
        <v>872</v>
      </c>
      <c r="T864" t="s">
        <v>92</v>
      </c>
      <c r="U864" s="11">
        <f t="shared" si="61"/>
        <v>0</v>
      </c>
      <c r="V864" t="s">
        <v>32</v>
      </c>
      <c r="Y864" s="11" t="s">
        <v>191</v>
      </c>
      <c r="Z864" s="11" t="s">
        <v>215</v>
      </c>
      <c r="AA864" s="11">
        <f>INDEX(Bandwidth!$B$290:$T$306,MATCH(dataforsankey!$AB864,Bandwidth!$A$290:$A$306,0),MATCH(dataforsankey!$Z864,Bandwidth!$B$289:$T$289,0))</f>
        <v>0.25973746376899781</v>
      </c>
      <c r="AB864" s="28" t="s">
        <v>25</v>
      </c>
      <c r="AE864" s="11" t="s">
        <v>191</v>
      </c>
      <c r="AF864" s="11" t="s">
        <v>215</v>
      </c>
      <c r="AG864" s="11">
        <f>INDEX(Bandwidth!$B$353:$T$369,MATCH(dataforsankey!$AH864,Bandwidth!$A$290:$A$306,0),MATCH(dataforsankey!$AF864,Bandwidth!$B$289:$T$289,0))</f>
        <v>0.57769593639603567</v>
      </c>
      <c r="AH864" t="s">
        <v>30</v>
      </c>
    </row>
    <row r="865" spans="13:34" ht="17" x14ac:dyDescent="0.2">
      <c r="M865" t="s">
        <v>335</v>
      </c>
      <c r="N865" t="s">
        <v>5</v>
      </c>
      <c r="O865" s="11">
        <f>INDEX(EndOfLife!$L$64:$P$78,MATCH(dataforsankey!$P865,EndOfLife!$A$64:$A$78,0),MATCH(dataforsankey!$N865,EndOfLife!$L$63:$P$63,0))*INDEX(EndOfLife!$B$85:$C$99,MATCH(dataforsankey!$P865,EndOfLife!$A$85:$A$99,0),MATCH(dataforsankey!$M865,EndOfLife!$B$84:$C$84,0))</f>
        <v>0.2479619732493176</v>
      </c>
      <c r="P865" t="s">
        <v>105</v>
      </c>
      <c r="S865" t="s">
        <v>872</v>
      </c>
      <c r="T865" t="s">
        <v>103</v>
      </c>
      <c r="U865" s="11">
        <f t="shared" si="61"/>
        <v>0</v>
      </c>
      <c r="V865" t="s">
        <v>32</v>
      </c>
      <c r="Y865" s="11" t="s">
        <v>191</v>
      </c>
      <c r="Z865" s="11" t="s">
        <v>216</v>
      </c>
      <c r="AA865" s="11">
        <f>INDEX(Bandwidth!$B$290:$T$306,MATCH(dataforsankey!$AB865,Bandwidth!$A$290:$A$306,0),MATCH(dataforsankey!$Z865,Bandwidth!$B$289:$T$289,0))</f>
        <v>0</v>
      </c>
      <c r="AB865" s="28" t="s">
        <v>25</v>
      </c>
      <c r="AE865" s="11" t="s">
        <v>191</v>
      </c>
      <c r="AF865" s="11" t="s">
        <v>216</v>
      </c>
      <c r="AG865" s="11">
        <f>INDEX(Bandwidth!$B$353:$T$369,MATCH(dataforsankey!$AH865,Bandwidth!$A$290:$A$306,0),MATCH(dataforsankey!$AF865,Bandwidth!$B$289:$T$289,0))</f>
        <v>0</v>
      </c>
      <c r="AH865" t="s">
        <v>30</v>
      </c>
    </row>
    <row r="866" spans="13:34" ht="17" x14ac:dyDescent="0.2">
      <c r="M866" t="s">
        <v>335</v>
      </c>
      <c r="N866" t="s">
        <v>358</v>
      </c>
      <c r="O866" s="11">
        <f>INDEX(EndOfLife!$L$64:$P$78,MATCH(dataforsankey!$P866,EndOfLife!$A$64:$A$78,0),MATCH(dataforsankey!$N866,EndOfLife!$L$63:$P$63,0))*INDEX(EndOfLife!$B$85:$C$99,MATCH(dataforsankey!$P866,EndOfLife!$A$85:$A$99,0),MATCH(dataforsankey!$M866,EndOfLife!$B$84:$C$84,0))</f>
        <v>0.22143580866915802</v>
      </c>
      <c r="P866" t="s">
        <v>105</v>
      </c>
      <c r="S866" t="s">
        <v>872</v>
      </c>
      <c r="T866" t="s">
        <v>86</v>
      </c>
      <c r="U866" s="11">
        <f t="shared" si="61"/>
        <v>2.3900389818491213E-2</v>
      </c>
      <c r="V866" t="s">
        <v>32</v>
      </c>
      <c r="Y866" s="11" t="s">
        <v>191</v>
      </c>
      <c r="Z866" s="11" t="s">
        <v>217</v>
      </c>
      <c r="AA866" s="11">
        <f>INDEX(Bandwidth!$B$290:$T$306,MATCH(dataforsankey!$AB866,Bandwidth!$A$290:$A$306,0),MATCH(dataforsankey!$Z866,Bandwidth!$B$289:$T$289,0))</f>
        <v>0</v>
      </c>
      <c r="AB866" s="28" t="s">
        <v>25</v>
      </c>
      <c r="AE866" s="11" t="s">
        <v>191</v>
      </c>
      <c r="AF866" s="11" t="s">
        <v>217</v>
      </c>
      <c r="AG866" s="11">
        <f>INDEX(Bandwidth!$B$353:$T$369,MATCH(dataforsankey!$AH866,Bandwidth!$A$290:$A$306,0),MATCH(dataforsankey!$AF866,Bandwidth!$B$289:$T$289,0))</f>
        <v>0.11553918727920715</v>
      </c>
      <c r="AH866" t="s">
        <v>30</v>
      </c>
    </row>
    <row r="867" spans="13:34" ht="17" x14ac:dyDescent="0.2">
      <c r="M867" t="s">
        <v>330</v>
      </c>
      <c r="N867" t="s">
        <v>191</v>
      </c>
      <c r="O867" s="11">
        <f>INDEX(EndOfLife!$L$64:$P$80,MATCH(dataforsankey!$P867,EndOfLife!$A$64:$A$80,0),MATCH(dataforsankey!$N867,EndOfLife!$L$63:$P$63,0))*INDEX(EndOfLife!$B$85:$C$101,MATCH(dataforsankey!$P867,EndOfLife!$A$85:$A$101,0),MATCH(dataforsankey!$M867,EndOfLife!$B$84:$C$84,0))</f>
        <v>0.31444109994522312</v>
      </c>
      <c r="P867" s="11" t="s">
        <v>576</v>
      </c>
      <c r="Q867" s="11"/>
      <c r="S867" t="s">
        <v>872</v>
      </c>
      <c r="T867" t="s">
        <v>18</v>
      </c>
      <c r="U867" s="11">
        <f t="shared" si="61"/>
        <v>0</v>
      </c>
      <c r="V867" t="s">
        <v>32</v>
      </c>
      <c r="Y867" s="11" t="s">
        <v>191</v>
      </c>
      <c r="Z867" s="11" t="s">
        <v>218</v>
      </c>
      <c r="AA867" s="11">
        <f>INDEX(Bandwidth!$B$290:$T$306,MATCH(dataforsankey!$AB867,Bandwidth!$A$290:$A$306,0),MATCH(dataforsankey!$Z867,Bandwidth!$B$289:$T$289,0))</f>
        <v>0</v>
      </c>
      <c r="AB867" s="28" t="s">
        <v>25</v>
      </c>
      <c r="AE867" s="11" t="s">
        <v>191</v>
      </c>
      <c r="AF867" s="11" t="s">
        <v>218</v>
      </c>
      <c r="AG867" s="11">
        <f>INDEX(Bandwidth!$B$353:$T$369,MATCH(dataforsankey!$AH867,Bandwidth!$A$290:$A$306,0),MATCH(dataforsankey!$AF867,Bandwidth!$B$289:$T$289,0))</f>
        <v>0</v>
      </c>
      <c r="AH867" t="s">
        <v>30</v>
      </c>
    </row>
    <row r="868" spans="13:34" ht="17" x14ac:dyDescent="0.2">
      <c r="M868" t="s">
        <v>330</v>
      </c>
      <c r="N868" t="s">
        <v>333</v>
      </c>
      <c r="O868" s="11">
        <f>INDEX(EndOfLife!$L$64:$P$80,MATCH(dataforsankey!$P868,EndOfLife!$A$64:$A$80,0),MATCH(dataforsankey!$N868,EndOfLife!$L$63:$P$63,0))*INDEX(EndOfLife!$B$85:$C$101,MATCH(dataforsankey!$P868,EndOfLife!$A$85:$A$101,0),MATCH(dataforsankey!$M868,EndOfLife!$B$84:$C$84,0))</f>
        <v>0</v>
      </c>
      <c r="P868" s="11" t="s">
        <v>576</v>
      </c>
      <c r="Q868" s="11"/>
      <c r="S868" t="s">
        <v>872</v>
      </c>
      <c r="T868" t="s">
        <v>38</v>
      </c>
      <c r="U868" s="11">
        <f t="shared" si="61"/>
        <v>0</v>
      </c>
      <c r="V868" t="s">
        <v>105</v>
      </c>
      <c r="Y868" s="11" t="s">
        <v>191</v>
      </c>
      <c r="Z868" s="11" t="s">
        <v>219</v>
      </c>
      <c r="AA868" s="11">
        <f>INDEX(Bandwidth!$B$290:$T$306,MATCH(dataforsankey!$AB868,Bandwidth!$A$290:$A$306,0),MATCH(dataforsankey!$Z868,Bandwidth!$B$289:$T$289,0))</f>
        <v>0</v>
      </c>
      <c r="AB868" s="28" t="s">
        <v>25</v>
      </c>
      <c r="AE868" s="11" t="s">
        <v>191</v>
      </c>
      <c r="AF868" s="11" t="s">
        <v>219</v>
      </c>
      <c r="AG868" s="11">
        <f>INDEX(Bandwidth!$B$353:$T$369,MATCH(dataforsankey!$AH868,Bandwidth!$A$290:$A$306,0),MATCH(dataforsankey!$AF868,Bandwidth!$B$289:$T$289,0))</f>
        <v>0</v>
      </c>
      <c r="AH868" t="s">
        <v>30</v>
      </c>
    </row>
    <row r="869" spans="13:34" ht="17" x14ac:dyDescent="0.2">
      <c r="M869" t="s">
        <v>330</v>
      </c>
      <c r="N869" t="s">
        <v>6</v>
      </c>
      <c r="O869" s="11">
        <f>INDEX(EndOfLife!$L$64:$P$80,MATCH(dataforsankey!$P869,EndOfLife!$A$64:$A$80,0),MATCH(dataforsankey!$N869,EndOfLife!$L$63:$P$63,0))*INDEX(EndOfLife!$B$85:$C$101,MATCH(dataforsankey!$P869,EndOfLife!$A$85:$A$101,0),MATCH(dataforsankey!$M869,EndOfLife!$B$84:$C$84,0))</f>
        <v>1.4230385636719229</v>
      </c>
      <c r="P869" s="11" t="s">
        <v>576</v>
      </c>
      <c r="Q869" s="11"/>
      <c r="S869" t="s">
        <v>872</v>
      </c>
      <c r="T869" t="s">
        <v>99</v>
      </c>
      <c r="U869" s="11">
        <f t="shared" si="61"/>
        <v>0</v>
      </c>
      <c r="V869" t="s">
        <v>105</v>
      </c>
      <c r="Y869" s="11" t="s">
        <v>191</v>
      </c>
      <c r="Z869" s="11" t="s">
        <v>302</v>
      </c>
      <c r="AA869" s="11">
        <f>INDEX(Bandwidth!$B$290:$T$306,MATCH(dataforsankey!$AB869,Bandwidth!$A$290:$A$306,0),MATCH(dataforsankey!$Z869,Bandwidth!$B$289:$T$289,0))</f>
        <v>0</v>
      </c>
      <c r="AB869" s="28" t="s">
        <v>25</v>
      </c>
      <c r="AE869" s="11" t="s">
        <v>191</v>
      </c>
      <c r="AF869" s="11" t="s">
        <v>302</v>
      </c>
      <c r="AG869" s="11">
        <f>INDEX(Bandwidth!$B$353:$T$369,MATCH(dataforsankey!$AH869,Bandwidth!$A$290:$A$306,0),MATCH(dataforsankey!$AF869,Bandwidth!$B$289:$T$289,0))</f>
        <v>0</v>
      </c>
      <c r="AH869" t="s">
        <v>30</v>
      </c>
    </row>
    <row r="870" spans="13:34" ht="17" x14ac:dyDescent="0.2">
      <c r="M870" t="s">
        <v>330</v>
      </c>
      <c r="N870" t="s">
        <v>5</v>
      </c>
      <c r="O870" s="11">
        <f>INDEX(EndOfLife!$L$64:$P$80,MATCH(dataforsankey!$P870,EndOfLife!$A$64:$A$80,0),MATCH(dataforsankey!$N870,EndOfLife!$L$63:$P$63,0))*INDEX(EndOfLife!$B$85:$C$101,MATCH(dataforsankey!$P870,EndOfLife!$A$85:$A$101,0),MATCH(dataforsankey!$M870,EndOfLife!$B$84:$C$84,0))</f>
        <v>0.15932149273393825</v>
      </c>
      <c r="P870" s="11" t="s">
        <v>576</v>
      </c>
      <c r="Q870" s="11"/>
      <c r="S870" t="s">
        <v>872</v>
      </c>
      <c r="T870" t="s">
        <v>69</v>
      </c>
      <c r="U870" s="11">
        <f t="shared" si="61"/>
        <v>0</v>
      </c>
      <c r="V870" t="s">
        <v>105</v>
      </c>
      <c r="Y870" s="11" t="s">
        <v>191</v>
      </c>
      <c r="Z870" s="11" t="s">
        <v>220</v>
      </c>
      <c r="AA870" s="11">
        <f>INDEX(Bandwidth!$B$290:$T$306,MATCH(dataforsankey!$AB870,Bandwidth!$A$290:$A$306,0),MATCH(dataforsankey!$Z870,Bandwidth!$B$289:$T$289,0))</f>
        <v>0</v>
      </c>
      <c r="AB870" s="28" t="s">
        <v>25</v>
      </c>
      <c r="AE870" s="11" t="s">
        <v>191</v>
      </c>
      <c r="AF870" s="11" t="s">
        <v>220</v>
      </c>
      <c r="AG870" s="11">
        <f>INDEX(Bandwidth!$B$353:$T$369,MATCH(dataforsankey!$AH870,Bandwidth!$A$290:$A$306,0),MATCH(dataforsankey!$AF870,Bandwidth!$B$289:$T$289,0))</f>
        <v>0</v>
      </c>
      <c r="AH870" t="s">
        <v>30</v>
      </c>
    </row>
    <row r="871" spans="13:34" ht="17" x14ac:dyDescent="0.2">
      <c r="M871" t="s">
        <v>330</v>
      </c>
      <c r="N871" t="s">
        <v>358</v>
      </c>
      <c r="O871" s="11">
        <f>INDEX(EndOfLife!$L$64:$P$80,MATCH(dataforsankey!$P871,EndOfLife!$A$64:$A$80,0),MATCH(dataforsankey!$N871,EndOfLife!$L$63:$P$63,0))*INDEX(EndOfLife!$B$85:$C$101,MATCH(dataforsankey!$P871,EndOfLife!$A$85:$A$101,0),MATCH(dataforsankey!$M871,EndOfLife!$B$84:$C$84,0))</f>
        <v>0</v>
      </c>
      <c r="P871" s="11" t="s">
        <v>576</v>
      </c>
      <c r="Q871" s="11"/>
      <c r="S871" t="s">
        <v>872</v>
      </c>
      <c r="T871" t="s">
        <v>100</v>
      </c>
      <c r="U871" s="11">
        <f t="shared" si="61"/>
        <v>0</v>
      </c>
      <c r="V871" t="s">
        <v>105</v>
      </c>
      <c r="Y871" s="11" t="s">
        <v>191</v>
      </c>
      <c r="Z871" s="11" t="s">
        <v>221</v>
      </c>
      <c r="AA871" s="11">
        <f>INDEX(Bandwidth!$B$290:$T$306,MATCH(dataforsankey!$AB871,Bandwidth!$A$290:$A$306,0),MATCH(dataforsankey!$Z871,Bandwidth!$B$289:$T$289,0))</f>
        <v>0</v>
      </c>
      <c r="AB871" s="28" t="s">
        <v>25</v>
      </c>
      <c r="AE871" s="11" t="s">
        <v>191</v>
      </c>
      <c r="AF871" s="11" t="s">
        <v>221</v>
      </c>
      <c r="AG871" s="11">
        <f>INDEX(Bandwidth!$B$353:$T$369,MATCH(dataforsankey!$AH871,Bandwidth!$A$290:$A$306,0),MATCH(dataforsankey!$AF871,Bandwidth!$B$289:$T$289,0))</f>
        <v>0.40438715547722492</v>
      </c>
      <c r="AH871" t="s">
        <v>30</v>
      </c>
    </row>
    <row r="872" spans="13:34" ht="17" x14ac:dyDescent="0.2">
      <c r="M872" t="s">
        <v>335</v>
      </c>
      <c r="N872" t="s">
        <v>191</v>
      </c>
      <c r="O872" s="11">
        <f>INDEX(EndOfLife!$L$64:$P$80,MATCH(dataforsankey!$P872,EndOfLife!$A$64:$A$80,0),MATCH(dataforsankey!$N872,EndOfLife!$L$63:$P$63,0))*INDEX(EndOfLife!$B$85:$C$101,MATCH(dataforsankey!$P872,EndOfLife!$A$85:$A$101,0),MATCH(dataforsankey!$M872,EndOfLife!$B$84:$C$84,0))</f>
        <v>0</v>
      </c>
      <c r="P872" s="11" t="s">
        <v>576</v>
      </c>
      <c r="Q872" s="11"/>
      <c r="S872" t="s">
        <v>872</v>
      </c>
      <c r="T872" t="s">
        <v>39</v>
      </c>
      <c r="U872" s="11">
        <f t="shared" si="61"/>
        <v>0</v>
      </c>
      <c r="V872" t="s">
        <v>105</v>
      </c>
      <c r="Y872" s="11" t="s">
        <v>191</v>
      </c>
      <c r="Z872" s="11" t="s">
        <v>222</v>
      </c>
      <c r="AA872" s="11">
        <f>INDEX(Bandwidth!$B$290:$T$306,MATCH(dataforsankey!$AB872,Bandwidth!$A$290:$A$306,0),MATCH(dataforsankey!$Z872,Bandwidth!$B$289:$T$289,0))</f>
        <v>0.60605408212766143</v>
      </c>
      <c r="AB872" s="28" t="s">
        <v>25</v>
      </c>
      <c r="AE872" s="11" t="s">
        <v>191</v>
      </c>
      <c r="AF872" s="11" t="s">
        <v>222</v>
      </c>
      <c r="AG872" s="11">
        <f>INDEX(Bandwidth!$B$353:$T$369,MATCH(dataforsankey!$AH872,Bandwidth!$A$290:$A$306,0),MATCH(dataforsankey!$AF872,Bandwidth!$B$289:$T$289,0))</f>
        <v>0</v>
      </c>
      <c r="AH872" t="s">
        <v>30</v>
      </c>
    </row>
    <row r="873" spans="13:34" ht="17" x14ac:dyDescent="0.2">
      <c r="M873" t="s">
        <v>335</v>
      </c>
      <c r="N873" t="s">
        <v>6</v>
      </c>
      <c r="O873" s="11">
        <f>INDEX(EndOfLife!$L$64:$P$80,MATCH(dataforsankey!$P873,EndOfLife!$A$64:$A$80,0),MATCH(dataforsankey!$N873,EndOfLife!$L$63:$P$63,0))*INDEX(EndOfLife!$B$85:$C$101,MATCH(dataforsankey!$P873,EndOfLife!$A$85:$A$101,0),MATCH(dataforsankey!$M873,EndOfLife!$B$84:$C$84,0))</f>
        <v>0</v>
      </c>
      <c r="P873" s="11" t="s">
        <v>576</v>
      </c>
      <c r="Q873" s="11"/>
      <c r="S873" t="s">
        <v>872</v>
      </c>
      <c r="T873" t="s">
        <v>68</v>
      </c>
      <c r="U873" s="11">
        <f t="shared" si="61"/>
        <v>0</v>
      </c>
      <c r="V873" t="s">
        <v>105</v>
      </c>
      <c r="Y873" s="11" t="s">
        <v>191</v>
      </c>
      <c r="Z873" s="11" t="s">
        <v>223</v>
      </c>
      <c r="AA873" s="11">
        <f>INDEX(Bandwidth!$B$290:$T$306,MATCH(dataforsankey!$AB873,Bandwidth!$A$290:$A$306,0),MATCH(dataforsankey!$Z873,Bandwidth!$B$289:$T$289,0))</f>
        <v>0</v>
      </c>
      <c r="AB873" s="28" t="s">
        <v>25</v>
      </c>
      <c r="AE873" s="11" t="s">
        <v>191</v>
      </c>
      <c r="AF873" s="11" t="s">
        <v>223</v>
      </c>
      <c r="AG873" s="11">
        <f>INDEX(Bandwidth!$B$353:$T$369,MATCH(dataforsankey!$AH873,Bandwidth!$A$290:$A$306,0),MATCH(dataforsankey!$AF873,Bandwidth!$B$289:$T$289,0))</f>
        <v>5.7769593639603573E-2</v>
      </c>
      <c r="AH873" t="s">
        <v>30</v>
      </c>
    </row>
    <row r="874" spans="13:34" ht="17" x14ac:dyDescent="0.2">
      <c r="M874" t="s">
        <v>335</v>
      </c>
      <c r="N874" t="s">
        <v>5</v>
      </c>
      <c r="O874" s="11">
        <f>INDEX(EndOfLife!$L$64:$P$80,MATCH(dataforsankey!$P874,EndOfLife!$A$64:$A$80,0),MATCH(dataforsankey!$N874,EndOfLife!$L$63:$P$63,0))*INDEX(EndOfLife!$B$85:$C$101,MATCH(dataforsankey!$P874,EndOfLife!$A$85:$A$101,0),MATCH(dataforsankey!$M874,EndOfLife!$B$84:$C$84,0))</f>
        <v>0</v>
      </c>
      <c r="P874" s="11" t="s">
        <v>576</v>
      </c>
      <c r="Q874" s="11"/>
      <c r="S874" t="s">
        <v>872</v>
      </c>
      <c r="T874" t="s">
        <v>63</v>
      </c>
      <c r="U874" s="11">
        <f t="shared" si="61"/>
        <v>0</v>
      </c>
      <c r="V874" t="s">
        <v>105</v>
      </c>
      <c r="Y874" s="11" t="s">
        <v>191</v>
      </c>
      <c r="Z874" s="11" t="s">
        <v>224</v>
      </c>
      <c r="AA874" s="11">
        <f>INDEX(Bandwidth!$B$290:$T$306,MATCH(dataforsankey!$AB874,Bandwidth!$A$290:$A$306,0),MATCH(dataforsankey!$Z874,Bandwidth!$B$289:$T$289,0))</f>
        <v>0</v>
      </c>
      <c r="AB874" s="28" t="s">
        <v>25</v>
      </c>
      <c r="AE874" s="11" t="s">
        <v>191</v>
      </c>
      <c r="AF874" s="11" t="s">
        <v>224</v>
      </c>
      <c r="AG874" s="11">
        <f>INDEX(Bandwidth!$B$353:$T$369,MATCH(dataforsankey!$AH874,Bandwidth!$A$290:$A$306,0),MATCH(dataforsankey!$AF874,Bandwidth!$B$289:$T$289,0))</f>
        <v>0</v>
      </c>
      <c r="AH874" t="s">
        <v>30</v>
      </c>
    </row>
    <row r="875" spans="13:34" ht="17" x14ac:dyDescent="0.2">
      <c r="M875" t="s">
        <v>335</v>
      </c>
      <c r="N875" t="s">
        <v>358</v>
      </c>
      <c r="O875" s="11">
        <f>INDEX(EndOfLife!$L$64:$P$80,MATCH(dataforsankey!$P875,EndOfLife!$A$64:$A$80,0),MATCH(dataforsankey!$N875,EndOfLife!$L$63:$P$63,0))*INDEX(EndOfLife!$B$85:$C$101,MATCH(dataforsankey!$P875,EndOfLife!$A$85:$A$101,0),MATCH(dataforsankey!$M875,EndOfLife!$B$84:$C$84,0))</f>
        <v>0</v>
      </c>
      <c r="P875" s="11" t="s">
        <v>576</v>
      </c>
      <c r="Q875" s="11"/>
      <c r="S875" t="s">
        <v>872</v>
      </c>
      <c r="T875" t="s">
        <v>92</v>
      </c>
      <c r="U875" s="11">
        <f t="shared" si="61"/>
        <v>0</v>
      </c>
      <c r="V875" t="s">
        <v>105</v>
      </c>
      <c r="Y875" s="11" t="s">
        <v>191</v>
      </c>
      <c r="Z875" s="11" t="s">
        <v>225</v>
      </c>
      <c r="AA875" s="11">
        <f>INDEX(Bandwidth!$B$290:$T$306,MATCH(dataforsankey!$AB875,Bandwidth!$A$290:$A$306,0),MATCH(dataforsankey!$Z875,Bandwidth!$B$289:$T$289,0))</f>
        <v>0</v>
      </c>
      <c r="AB875" s="28" t="s">
        <v>25</v>
      </c>
      <c r="AE875" s="11" t="s">
        <v>191</v>
      </c>
      <c r="AF875" s="11" t="s">
        <v>225</v>
      </c>
      <c r="AG875" s="11">
        <f>INDEX(Bandwidth!$B$353:$T$369,MATCH(dataforsankey!$AH875,Bandwidth!$A$290:$A$306,0),MATCH(dataforsankey!$AF875,Bandwidth!$B$289:$T$289,0))</f>
        <v>0</v>
      </c>
      <c r="AH875" t="s">
        <v>30</v>
      </c>
    </row>
    <row r="876" spans="13:34" ht="17" x14ac:dyDescent="0.2">
      <c r="M876" t="s">
        <v>330</v>
      </c>
      <c r="N876" t="s">
        <v>191</v>
      </c>
      <c r="O876" s="11">
        <f>INDEX(EndOfLife!$L$64:$P$80,MATCH(dataforsankey!$P876,EndOfLife!$A$64:$A$80,0),MATCH(dataforsankey!$N876,EndOfLife!$L$63:$P$63,0))*INDEX(EndOfLife!$B$85:$C$101,MATCH(dataforsankey!$P876,EndOfLife!$A$85:$A$101,0),MATCH(dataforsankey!$M876,EndOfLife!$B$84:$C$84,0))</f>
        <v>0.13695285144102914</v>
      </c>
      <c r="P876" s="11" t="s">
        <v>575</v>
      </c>
      <c r="Q876" s="11"/>
      <c r="S876" t="s">
        <v>872</v>
      </c>
      <c r="T876" t="s">
        <v>103</v>
      </c>
      <c r="U876" s="11">
        <f t="shared" si="61"/>
        <v>0</v>
      </c>
      <c r="V876" t="s">
        <v>105</v>
      </c>
      <c r="Y876" s="11" t="s">
        <v>191</v>
      </c>
      <c r="Z876" s="11" t="s">
        <v>226</v>
      </c>
      <c r="AA876" s="11">
        <f>INDEX(Bandwidth!$B$290:$T$306,MATCH(dataforsankey!$AB876,Bandwidth!$A$290:$A$306,0),MATCH(dataforsankey!$Z876,Bandwidth!$B$289:$T$289,0))</f>
        <v>0.86579154589665919</v>
      </c>
      <c r="AB876" s="28" t="s">
        <v>25</v>
      </c>
      <c r="AE876" s="11" t="s">
        <v>191</v>
      </c>
      <c r="AF876" s="11" t="s">
        <v>226</v>
      </c>
      <c r="AG876" s="11">
        <f>INDEX(Bandwidth!$B$353:$T$369,MATCH(dataforsankey!$AH876,Bandwidth!$A$290:$A$306,0),MATCH(dataforsankey!$AF876,Bandwidth!$B$289:$T$289,0))</f>
        <v>0</v>
      </c>
      <c r="AH876" t="s">
        <v>30</v>
      </c>
    </row>
    <row r="877" spans="13:34" ht="17" x14ac:dyDescent="0.2">
      <c r="M877" t="s">
        <v>330</v>
      </c>
      <c r="N877" t="s">
        <v>333</v>
      </c>
      <c r="O877" s="11">
        <f>INDEX(EndOfLife!$L$64:$P$80,MATCH(dataforsankey!$P877,EndOfLife!$A$64:$A$80,0),MATCH(dataforsankey!$N877,EndOfLife!$L$63:$P$63,0))*INDEX(EndOfLife!$B$85:$C$101,MATCH(dataforsankey!$P877,EndOfLife!$A$85:$A$101,0),MATCH(dataforsankey!$M877,EndOfLife!$B$84:$C$84,0))</f>
        <v>0</v>
      </c>
      <c r="P877" s="11" t="s">
        <v>575</v>
      </c>
      <c r="Q877" s="11"/>
      <c r="S877" t="s">
        <v>872</v>
      </c>
      <c r="T877" t="s">
        <v>86</v>
      </c>
      <c r="U877" s="11">
        <f t="shared" si="61"/>
        <v>0</v>
      </c>
      <c r="V877" t="s">
        <v>105</v>
      </c>
      <c r="Y877" s="11" t="s">
        <v>191</v>
      </c>
      <c r="Z877" s="11" t="s">
        <v>279</v>
      </c>
      <c r="AA877" s="11">
        <f>INDEX(Bandwidth!$B$290:$T$306,MATCH(dataforsankey!$AB877,Bandwidth!$A$290:$A$306,0),MATCH(dataforsankey!$Z877,Bandwidth!$B$289:$T$289,0))</f>
        <v>0</v>
      </c>
      <c r="AB877" s="28" t="s">
        <v>25</v>
      </c>
      <c r="AE877" s="11" t="s">
        <v>191</v>
      </c>
      <c r="AF877" s="11" t="s">
        <v>279</v>
      </c>
      <c r="AG877" s="11">
        <f>INDEX(Bandwidth!$B$353:$T$369,MATCH(dataforsankey!$AH877,Bandwidth!$A$290:$A$306,0),MATCH(dataforsankey!$AF877,Bandwidth!$B$289:$T$289,0))</f>
        <v>0</v>
      </c>
      <c r="AH877" t="s">
        <v>30</v>
      </c>
    </row>
    <row r="878" spans="13:34" ht="17" x14ac:dyDescent="0.2">
      <c r="M878" t="s">
        <v>330</v>
      </c>
      <c r="N878" t="s">
        <v>6</v>
      </c>
      <c r="O878" s="11">
        <f>INDEX(EndOfLife!$L$64:$P$80,MATCH(dataforsankey!$P878,EndOfLife!$A$64:$A$80,0),MATCH(dataforsankey!$N878,EndOfLife!$L$63:$P$63,0))*INDEX(EndOfLife!$B$85:$C$101,MATCH(dataforsankey!$P878,EndOfLife!$A$85:$A$101,0),MATCH(dataforsankey!$M878,EndOfLife!$B$84:$C$84,0))</f>
        <v>0.61979553257944586</v>
      </c>
      <c r="P878" s="11" t="s">
        <v>575</v>
      </c>
      <c r="Q878" s="11"/>
      <c r="S878" t="s">
        <v>872</v>
      </c>
      <c r="T878" t="s">
        <v>18</v>
      </c>
      <c r="U878" s="11">
        <f t="shared" si="61"/>
        <v>0</v>
      </c>
      <c r="V878" t="s">
        <v>105</v>
      </c>
      <c r="Y878" t="s">
        <v>330</v>
      </c>
      <c r="Z878" s="11" t="s">
        <v>6</v>
      </c>
      <c r="AA878" s="11">
        <f>INDEX(Bandwidth!$B$290:$T$306,MATCH(dataforsankey!$AB878,Bandwidth!$A$290:$A$306,0),MATCH(dataforsankey!$Z878,Bandwidth!$B$289:$T$289,0))</f>
        <v>0</v>
      </c>
      <c r="AB878" s="28" t="s">
        <v>7</v>
      </c>
      <c r="AE878" t="s">
        <v>330</v>
      </c>
      <c r="AF878" s="11" t="s">
        <v>6</v>
      </c>
      <c r="AG878" s="11">
        <f>INDEX(Bandwidth!$B$353:$T$369,MATCH(dataforsankey!$AH878,Bandwidth!$A$290:$A$306,0),MATCH(dataforsankey!$AF878,Bandwidth!$B$289:$T$289,0))</f>
        <v>0</v>
      </c>
      <c r="AH878" t="s">
        <v>31</v>
      </c>
    </row>
    <row r="879" spans="13:34" ht="17" x14ac:dyDescent="0.2">
      <c r="M879" t="s">
        <v>330</v>
      </c>
      <c r="N879" t="s">
        <v>5</v>
      </c>
      <c r="O879" s="11">
        <f>INDEX(EndOfLife!$L$64:$P$80,MATCH(dataforsankey!$P879,EndOfLife!$A$64:$A$80,0),MATCH(dataforsankey!$N879,EndOfLife!$L$63:$P$63,0))*INDEX(EndOfLife!$B$85:$C$101,MATCH(dataforsankey!$P879,EndOfLife!$A$85:$A$101,0),MATCH(dataforsankey!$M879,EndOfLife!$B$84:$C$84,0))</f>
        <v>6.9391478180031482E-2</v>
      </c>
      <c r="P879" s="11" t="s">
        <v>575</v>
      </c>
      <c r="Q879" s="11"/>
      <c r="S879" t="s">
        <v>872</v>
      </c>
      <c r="T879" t="s">
        <v>38</v>
      </c>
      <c r="U879" s="11">
        <f t="shared" si="61"/>
        <v>0</v>
      </c>
      <c r="V879" t="s">
        <v>576</v>
      </c>
      <c r="Y879" s="177" t="s">
        <v>330</v>
      </c>
      <c r="Z879" s="178" t="s">
        <v>191</v>
      </c>
      <c r="AA879" s="178">
        <f>INDEX(Bandwidth!$B$290:$T$306,MATCH(dataforsankey!$AB879,Bandwidth!$A$290:$A$306,0),MATCH(dataforsankey!$Z879,Bandwidth!$B$289:$T$289,0))-INDEX($AG$974:$AG$990,MATCH($AB879,$AH$974:$AH$990,0),1)</f>
        <v>1.5462408147586759</v>
      </c>
      <c r="AB879" s="181" t="s">
        <v>7</v>
      </c>
      <c r="AE879" s="177" t="s">
        <v>330</v>
      </c>
      <c r="AF879" s="178" t="s">
        <v>191</v>
      </c>
      <c r="AG879" s="178">
        <f>INDEX(Bandwidth!$T$353:$T$369,MATCH(dataforsankey!$AH879,Bandwidth!$A$353:$A$369,0),1)-INDEX($AG$974:$AG$990,MATCH($AH879,$AH$974:$AH$990,0),1)</f>
        <v>0.94768971340754149</v>
      </c>
      <c r="AH879" s="177" t="s">
        <v>31</v>
      </c>
    </row>
    <row r="880" spans="13:34" ht="17" x14ac:dyDescent="0.2">
      <c r="M880" t="s">
        <v>330</v>
      </c>
      <c r="N880" t="s">
        <v>358</v>
      </c>
      <c r="O880" s="11">
        <f>INDEX(EndOfLife!$L$64:$P$80,MATCH(dataforsankey!$P880,EndOfLife!$A$64:$A$80,0),MATCH(dataforsankey!$N880,EndOfLife!$L$63:$P$63,0))*INDEX(EndOfLife!$B$85:$C$101,MATCH(dataforsankey!$P880,EndOfLife!$A$85:$A$101,0),MATCH(dataforsankey!$M880,EndOfLife!$B$84:$C$84,0))</f>
        <v>0</v>
      </c>
      <c r="P880" s="11" t="s">
        <v>575</v>
      </c>
      <c r="Q880" s="11"/>
      <c r="S880" t="s">
        <v>872</v>
      </c>
      <c r="T880" t="s">
        <v>99</v>
      </c>
      <c r="U880" s="11">
        <f t="shared" si="61"/>
        <v>0</v>
      </c>
      <c r="V880" t="s">
        <v>576</v>
      </c>
      <c r="Y880" s="11" t="s">
        <v>191</v>
      </c>
      <c r="Z880" s="11" t="s">
        <v>215</v>
      </c>
      <c r="AA880" s="11">
        <f>INDEX(Bandwidth!$B$290:$T$306,MATCH(dataforsankey!$AB880,Bandwidth!$A$290:$A$306,0),MATCH(dataforsankey!$Z880,Bandwidth!$B$289:$T$289,0))</f>
        <v>1.7718467934328523</v>
      </c>
      <c r="AB880" s="28" t="s">
        <v>7</v>
      </c>
      <c r="AE880" s="11" t="s">
        <v>191</v>
      </c>
      <c r="AF880" s="11" t="s">
        <v>215</v>
      </c>
      <c r="AG880" s="11">
        <f>INDEX(Bandwidth!$B$353:$T$369,MATCH(dataforsankey!$AH880,Bandwidth!$A$290:$A$306,0),MATCH(dataforsankey!$AF880,Bandwidth!$B$289:$T$289,0))</f>
        <v>0.98084169246820285</v>
      </c>
      <c r="AH880" t="s">
        <v>31</v>
      </c>
    </row>
    <row r="881" spans="13:34" ht="17" x14ac:dyDescent="0.2">
      <c r="M881" t="s">
        <v>335</v>
      </c>
      <c r="N881" t="s">
        <v>191</v>
      </c>
      <c r="O881" s="11">
        <f>INDEX(EndOfLife!$L$64:$P$80,MATCH(dataforsankey!$P881,EndOfLife!$A$64:$A$80,0),MATCH(dataforsankey!$N881,EndOfLife!$L$63:$P$63,0))*INDEX(EndOfLife!$B$85:$C$101,MATCH(dataforsankey!$P881,EndOfLife!$A$85:$A$101,0),MATCH(dataforsankey!$M881,EndOfLife!$B$84:$C$84,0))</f>
        <v>0</v>
      </c>
      <c r="P881" s="11" t="s">
        <v>575</v>
      </c>
      <c r="Q881" s="11"/>
      <c r="S881" t="s">
        <v>872</v>
      </c>
      <c r="T881" t="s">
        <v>69</v>
      </c>
      <c r="U881" s="11">
        <f t="shared" si="61"/>
        <v>0</v>
      </c>
      <c r="V881" t="s">
        <v>576</v>
      </c>
      <c r="Y881" s="11" t="s">
        <v>191</v>
      </c>
      <c r="Z881" s="11" t="s">
        <v>216</v>
      </c>
      <c r="AA881" s="11">
        <f>INDEX(Bandwidth!$B$290:$T$306,MATCH(dataforsankey!$AB881,Bandwidth!$A$290:$A$306,0),MATCH(dataforsankey!$Z881,Bandwidth!$B$289:$T$289,0))</f>
        <v>0</v>
      </c>
      <c r="AB881" s="28" t="s">
        <v>7</v>
      </c>
      <c r="AE881" s="11" t="s">
        <v>191</v>
      </c>
      <c r="AF881" s="11" t="s">
        <v>216</v>
      </c>
      <c r="AG881" s="11">
        <f>INDEX(Bandwidth!$B$353:$T$369,MATCH(dataforsankey!$AH881,Bandwidth!$A$290:$A$306,0),MATCH(dataforsankey!$AF881,Bandwidth!$B$289:$T$289,0))</f>
        <v>0</v>
      </c>
      <c r="AH881" t="s">
        <v>31</v>
      </c>
    </row>
    <row r="882" spans="13:34" ht="17" x14ac:dyDescent="0.2">
      <c r="M882" t="s">
        <v>335</v>
      </c>
      <c r="N882" t="s">
        <v>6</v>
      </c>
      <c r="O882" s="11">
        <f>INDEX(EndOfLife!$L$64:$P$80,MATCH(dataforsankey!$P882,EndOfLife!$A$64:$A$80,0),MATCH(dataforsankey!$N882,EndOfLife!$L$63:$P$63,0))*INDEX(EndOfLife!$B$85:$C$101,MATCH(dataforsankey!$P882,EndOfLife!$A$85:$A$101,0),MATCH(dataforsankey!$M882,EndOfLife!$B$84:$C$84,0))</f>
        <v>0</v>
      </c>
      <c r="P882" s="11" t="s">
        <v>575</v>
      </c>
      <c r="Q882" s="11"/>
      <c r="S882" t="s">
        <v>872</v>
      </c>
      <c r="T882" t="s">
        <v>100</v>
      </c>
      <c r="U882" s="11">
        <f t="shared" si="61"/>
        <v>0</v>
      </c>
      <c r="V882" t="s">
        <v>576</v>
      </c>
      <c r="Y882" s="11" t="s">
        <v>191</v>
      </c>
      <c r="Z882" s="11" t="s">
        <v>217</v>
      </c>
      <c r="AA882" s="11">
        <f>INDEX(Bandwidth!$B$290:$T$306,MATCH(dataforsankey!$AB882,Bandwidth!$A$290:$A$306,0),MATCH(dataforsankey!$Z882,Bandwidth!$B$289:$T$289,0))</f>
        <v>0</v>
      </c>
      <c r="AB882" s="28" t="s">
        <v>7</v>
      </c>
      <c r="AE882" s="11" t="s">
        <v>191</v>
      </c>
      <c r="AF882" s="11" t="s">
        <v>217</v>
      </c>
      <c r="AG882" s="11">
        <f>INDEX(Bandwidth!$B$353:$T$369,MATCH(dataforsankey!$AH882,Bandwidth!$A$290:$A$306,0),MATCH(dataforsankey!$AF882,Bandwidth!$B$289:$T$289,0))</f>
        <v>0</v>
      </c>
      <c r="AH882" t="s">
        <v>31</v>
      </c>
    </row>
    <row r="883" spans="13:34" ht="17" x14ac:dyDescent="0.2">
      <c r="M883" t="s">
        <v>335</v>
      </c>
      <c r="N883" t="s">
        <v>5</v>
      </c>
      <c r="O883" s="11">
        <f>INDEX(EndOfLife!$L$64:$P$80,MATCH(dataforsankey!$P883,EndOfLife!$A$64:$A$80,0),MATCH(dataforsankey!$N883,EndOfLife!$L$63:$P$63,0))*INDEX(EndOfLife!$B$85:$C$101,MATCH(dataforsankey!$P883,EndOfLife!$A$85:$A$101,0),MATCH(dataforsankey!$M883,EndOfLife!$B$84:$C$84,0))</f>
        <v>0</v>
      </c>
      <c r="P883" s="11" t="s">
        <v>575</v>
      </c>
      <c r="Q883" s="11"/>
      <c r="S883" t="s">
        <v>872</v>
      </c>
      <c r="T883" t="s">
        <v>39</v>
      </c>
      <c r="U883" s="11">
        <f t="shared" si="61"/>
        <v>0</v>
      </c>
      <c r="V883" t="s">
        <v>576</v>
      </c>
      <c r="Y883" s="11" t="s">
        <v>191</v>
      </c>
      <c r="Z883" s="11" t="s">
        <v>218</v>
      </c>
      <c r="AA883" s="11">
        <f>INDEX(Bandwidth!$B$290:$T$306,MATCH(dataforsankey!$AB883,Bandwidth!$A$290:$A$306,0),MATCH(dataforsankey!$Z883,Bandwidth!$B$289:$T$289,0))</f>
        <v>0</v>
      </c>
      <c r="AB883" s="28" t="s">
        <v>7</v>
      </c>
      <c r="AE883" s="11" t="s">
        <v>191</v>
      </c>
      <c r="AF883" s="11" t="s">
        <v>218</v>
      </c>
      <c r="AG883" s="11">
        <f>INDEX(Bandwidth!$B$353:$T$369,MATCH(dataforsankey!$AH883,Bandwidth!$A$290:$A$306,0),MATCH(dataforsankey!$AF883,Bandwidth!$B$289:$T$289,0))</f>
        <v>0</v>
      </c>
      <c r="AH883" t="s">
        <v>31</v>
      </c>
    </row>
    <row r="884" spans="13:34" ht="17" x14ac:dyDescent="0.2">
      <c r="M884" t="s">
        <v>335</v>
      </c>
      <c r="N884" t="s">
        <v>358</v>
      </c>
      <c r="O884" s="11">
        <f>INDEX(EndOfLife!$L$64:$P$80,MATCH(dataforsankey!$P884,EndOfLife!$A$64:$A$80,0),MATCH(dataforsankey!$N884,EndOfLife!$L$63:$P$63,0))*INDEX(EndOfLife!$B$85:$C$101,MATCH(dataforsankey!$P884,EndOfLife!$A$85:$A$101,0),MATCH(dataforsankey!$M884,EndOfLife!$B$84:$C$84,0))</f>
        <v>0</v>
      </c>
      <c r="P884" s="11" t="s">
        <v>575</v>
      </c>
      <c r="Q884" s="11"/>
      <c r="S884" t="s">
        <v>872</v>
      </c>
      <c r="T884" t="s">
        <v>68</v>
      </c>
      <c r="U884" s="11">
        <f t="shared" si="61"/>
        <v>0</v>
      </c>
      <c r="V884" t="s">
        <v>576</v>
      </c>
      <c r="Y884" s="11" t="s">
        <v>191</v>
      </c>
      <c r="Z884" s="11" t="s">
        <v>219</v>
      </c>
      <c r="AA884" s="11">
        <f>INDEX(Bandwidth!$B$290:$T$306,MATCH(dataforsankey!$AB884,Bandwidth!$A$290:$A$306,0),MATCH(dataforsankey!$Z884,Bandwidth!$B$289:$T$289,0))</f>
        <v>0</v>
      </c>
      <c r="AB884" s="28" t="s">
        <v>7</v>
      </c>
      <c r="AE884" s="11" t="s">
        <v>191</v>
      </c>
      <c r="AF884" s="11" t="s">
        <v>219</v>
      </c>
      <c r="AG884" s="11">
        <f>INDEX(Bandwidth!$B$353:$T$369,MATCH(dataforsankey!$AH884,Bandwidth!$A$290:$A$306,0),MATCH(dataforsankey!$AF884,Bandwidth!$B$289:$T$289,0))</f>
        <v>0</v>
      </c>
      <c r="AH884" t="s">
        <v>31</v>
      </c>
    </row>
    <row r="885" spans="13:34" ht="34" x14ac:dyDescent="0.2">
      <c r="M885" t="s">
        <v>191</v>
      </c>
      <c r="N885" s="28" t="s">
        <v>360</v>
      </c>
      <c r="O885" s="11">
        <f>INDEX(EndOfLife!$T$64:$V$80,MATCH(dataforsankey!$P885,EndOfLife!$S$64:$S$80,0),MATCH(dataforsankey!$N885,EndOfLife!$T$63:$V$63,0))</f>
        <v>1.4605624041391865</v>
      </c>
      <c r="P885" t="s">
        <v>82</v>
      </c>
      <c r="S885" t="s">
        <v>872</v>
      </c>
      <c r="T885" t="s">
        <v>63</v>
      </c>
      <c r="U885" s="11">
        <f t="shared" si="61"/>
        <v>0</v>
      </c>
      <c r="V885" t="s">
        <v>576</v>
      </c>
      <c r="Y885" s="11" t="s">
        <v>191</v>
      </c>
      <c r="Z885" s="11" t="s">
        <v>302</v>
      </c>
      <c r="AA885" s="11">
        <f>INDEX(Bandwidth!$B$290:$T$306,MATCH(dataforsankey!$AB885,Bandwidth!$A$290:$A$306,0),MATCH(dataforsankey!$Z885,Bandwidth!$B$289:$T$289,0))</f>
        <v>0</v>
      </c>
      <c r="AB885" s="28" t="s">
        <v>7</v>
      </c>
      <c r="AE885" s="11" t="s">
        <v>191</v>
      </c>
      <c r="AF885" s="11" t="s">
        <v>302</v>
      </c>
      <c r="AG885" s="11">
        <f>INDEX(Bandwidth!$B$353:$T$369,MATCH(dataforsankey!$AH885,Bandwidth!$A$290:$A$306,0),MATCH(dataforsankey!$AF885,Bandwidth!$B$289:$T$289,0))</f>
        <v>0</v>
      </c>
      <c r="AH885" t="s">
        <v>31</v>
      </c>
    </row>
    <row r="886" spans="13:34" ht="17" x14ac:dyDescent="0.2">
      <c r="M886" t="s">
        <v>191</v>
      </c>
      <c r="N886" s="28" t="s">
        <v>361</v>
      </c>
      <c r="O886" s="11">
        <f>INDEX(EndOfLife!$T$64:$V$80,MATCH(dataforsankey!$P886,EndOfLife!$S$64:$S$80,0),MATCH(dataforsankey!$N886,EndOfLife!$T$63:$V$63,0))</f>
        <v>0.78325325221206077</v>
      </c>
      <c r="P886" t="s">
        <v>82</v>
      </c>
      <c r="S886" t="s">
        <v>872</v>
      </c>
      <c r="T886" t="s">
        <v>92</v>
      </c>
      <c r="U886" s="11">
        <f t="shared" si="61"/>
        <v>0</v>
      </c>
      <c r="V886" t="s">
        <v>576</v>
      </c>
      <c r="Y886" s="11" t="s">
        <v>191</v>
      </c>
      <c r="Z886" s="11" t="s">
        <v>220</v>
      </c>
      <c r="AA886" s="11">
        <f>INDEX(Bandwidth!$B$290:$T$306,MATCH(dataforsankey!$AB886,Bandwidth!$A$290:$A$306,0),MATCH(dataforsankey!$Z886,Bandwidth!$B$289:$T$289,0))</f>
        <v>0</v>
      </c>
      <c r="AB886" s="28" t="s">
        <v>7</v>
      </c>
      <c r="AE886" s="11" t="s">
        <v>191</v>
      </c>
      <c r="AF886" s="11" t="s">
        <v>220</v>
      </c>
      <c r="AG886" s="11">
        <f>INDEX(Bandwidth!$B$353:$T$369,MATCH(dataforsankey!$AH886,Bandwidth!$A$290:$A$306,0),MATCH(dataforsankey!$AF886,Bandwidth!$B$289:$T$289,0))</f>
        <v>0</v>
      </c>
      <c r="AH886" t="s">
        <v>31</v>
      </c>
    </row>
    <row r="887" spans="13:34" ht="34" x14ac:dyDescent="0.2">
      <c r="M887" t="s">
        <v>191</v>
      </c>
      <c r="N887" s="28" t="s">
        <v>360</v>
      </c>
      <c r="O887" s="11">
        <f>INDEX(EndOfLife!$T$64:$V$80,MATCH(dataforsankey!$P887,EndOfLife!$S$64:$S$80,0),MATCH(dataforsankey!$N887,EndOfLife!$T$63:$V$63,0))</f>
        <v>0.13628684864371868</v>
      </c>
      <c r="P887" t="s">
        <v>127</v>
      </c>
      <c r="S887" t="s">
        <v>872</v>
      </c>
      <c r="T887" t="s">
        <v>103</v>
      </c>
      <c r="U887" s="11">
        <f t="shared" si="61"/>
        <v>0</v>
      </c>
      <c r="V887" t="s">
        <v>576</v>
      </c>
      <c r="Y887" s="11" t="s">
        <v>191</v>
      </c>
      <c r="Z887" s="11" t="s">
        <v>221</v>
      </c>
      <c r="AA887" s="11">
        <f>INDEX(Bandwidth!$B$290:$T$306,MATCH(dataforsankey!$AB887,Bandwidth!$A$290:$A$306,0),MATCH(dataforsankey!$Z887,Bandwidth!$B$289:$T$289,0))</f>
        <v>0</v>
      </c>
      <c r="AB887" s="28" t="s">
        <v>7</v>
      </c>
      <c r="AE887" s="11" t="s">
        <v>191</v>
      </c>
      <c r="AF887" s="11" t="s">
        <v>221</v>
      </c>
      <c r="AG887" s="11">
        <f>INDEX(Bandwidth!$B$353:$T$369,MATCH(dataforsankey!$AH887,Bandwidth!$A$290:$A$306,0),MATCH(dataforsankey!$AF887,Bandwidth!$B$289:$T$289,0))</f>
        <v>0</v>
      </c>
      <c r="AH887" t="s">
        <v>31</v>
      </c>
    </row>
    <row r="888" spans="13:34" ht="17" x14ac:dyDescent="0.2">
      <c r="M888" t="s">
        <v>191</v>
      </c>
      <c r="N888" s="28" t="s">
        <v>361</v>
      </c>
      <c r="O888" s="11">
        <f>INDEX(EndOfLife!$T$64:$V$80,MATCH(dataforsankey!$P888,EndOfLife!$S$64:$S$80,0),MATCH(dataforsankey!$N888,EndOfLife!$T$63:$V$63,0))</f>
        <v>7.3086310541341917E-2</v>
      </c>
      <c r="P888" t="s">
        <v>127</v>
      </c>
      <c r="S888" t="s">
        <v>872</v>
      </c>
      <c r="T888" t="s">
        <v>86</v>
      </c>
      <c r="U888" s="11">
        <f t="shared" si="61"/>
        <v>2.2635924861555377</v>
      </c>
      <c r="V888" t="s">
        <v>576</v>
      </c>
      <c r="Y888" s="11" t="s">
        <v>191</v>
      </c>
      <c r="Z888" s="11" t="s">
        <v>222</v>
      </c>
      <c r="AA888" s="11">
        <f>INDEX(Bandwidth!$B$290:$T$306,MATCH(dataforsankey!$AB888,Bandwidth!$A$290:$A$306,0),MATCH(dataforsankey!$Z888,Bandwidth!$B$289:$T$289,0))</f>
        <v>0</v>
      </c>
      <c r="AB888" s="28" t="s">
        <v>7</v>
      </c>
      <c r="AE888" s="11" t="s">
        <v>191</v>
      </c>
      <c r="AF888" s="11" t="s">
        <v>222</v>
      </c>
      <c r="AG888" s="11">
        <f>INDEX(Bandwidth!$B$353:$T$369,MATCH(dataforsankey!$AH888,Bandwidth!$A$290:$A$306,0),MATCH(dataforsankey!$AF888,Bandwidth!$B$289:$T$289,0))</f>
        <v>0</v>
      </c>
      <c r="AH888" t="s">
        <v>31</v>
      </c>
    </row>
    <row r="889" spans="13:34" ht="34" x14ac:dyDescent="0.2">
      <c r="M889" s="11" t="s">
        <v>925</v>
      </c>
      <c r="N889" s="28" t="s">
        <v>360</v>
      </c>
      <c r="O889" s="11">
        <f>INDEX(EndOfLife!$T$64:$V$80,MATCH(dataforsankey!$P889,EndOfLife!$S$64:$S$80,0),MATCH(dataforsankey!$N889,EndOfLife!$T$63:$V$63,0))</f>
        <v>9.0143106420287389E-2</v>
      </c>
      <c r="P889" t="s">
        <v>8</v>
      </c>
      <c r="S889" t="s">
        <v>872</v>
      </c>
      <c r="T889" t="s">
        <v>18</v>
      </c>
      <c r="U889" s="11">
        <f t="shared" si="61"/>
        <v>0</v>
      </c>
      <c r="V889" t="s">
        <v>576</v>
      </c>
      <c r="Y889" s="11" t="s">
        <v>191</v>
      </c>
      <c r="Z889" s="11" t="s">
        <v>223</v>
      </c>
      <c r="AA889" s="11">
        <f>INDEX(Bandwidth!$B$290:$T$306,MATCH(dataforsankey!$AB889,Bandwidth!$A$290:$A$306,0),MATCH(dataforsankey!$Z889,Bandwidth!$B$289:$T$289,0))</f>
        <v>0</v>
      </c>
      <c r="AB889" s="28" t="s">
        <v>7</v>
      </c>
      <c r="AE889" s="11" t="s">
        <v>191</v>
      </c>
      <c r="AF889" s="11" t="s">
        <v>223</v>
      </c>
      <c r="AG889" s="11">
        <f>INDEX(Bandwidth!$B$353:$T$369,MATCH(dataforsankey!$AH889,Bandwidth!$A$290:$A$306,0),MATCH(dataforsankey!$AF889,Bandwidth!$B$289:$T$289,0))</f>
        <v>0</v>
      </c>
      <c r="AH889" t="s">
        <v>31</v>
      </c>
    </row>
    <row r="890" spans="13:34" ht="17" x14ac:dyDescent="0.2">
      <c r="M890" s="11" t="s">
        <v>925</v>
      </c>
      <c r="N890" s="28" t="s">
        <v>361</v>
      </c>
      <c r="O890" s="11">
        <f>INDEX(EndOfLife!$T$64:$V$80,MATCH(dataforsankey!$P890,EndOfLife!$S$64:$S$80,0),MATCH(dataforsankey!$N890,EndOfLife!$T$63:$V$63,0))</f>
        <v>4.5229329942501256E-2</v>
      </c>
      <c r="P890" t="s">
        <v>8</v>
      </c>
      <c r="S890" t="s">
        <v>872</v>
      </c>
      <c r="T890" t="s">
        <v>38</v>
      </c>
      <c r="U890" s="11">
        <f t="shared" si="61"/>
        <v>0</v>
      </c>
      <c r="V890" t="s">
        <v>575</v>
      </c>
      <c r="Y890" s="11" t="s">
        <v>191</v>
      </c>
      <c r="Z890" s="11" t="s">
        <v>224</v>
      </c>
      <c r="AA890" s="11">
        <f>INDEX(Bandwidth!$B$290:$T$306,MATCH(dataforsankey!$AB890,Bandwidth!$A$290:$A$306,0),MATCH(dataforsankey!$Z890,Bandwidth!$B$289:$T$289,0))</f>
        <v>0</v>
      </c>
      <c r="AB890" s="28" t="s">
        <v>7</v>
      </c>
      <c r="AE890" s="11" t="s">
        <v>191</v>
      </c>
      <c r="AF890" s="11" t="s">
        <v>224</v>
      </c>
      <c r="AG890" s="11">
        <f>INDEX(Bandwidth!$B$353:$T$369,MATCH(dataforsankey!$AH890,Bandwidth!$A$290:$A$306,0),MATCH(dataforsankey!$AF890,Bandwidth!$B$289:$T$289,0))</f>
        <v>0</v>
      </c>
      <c r="AH890" t="s">
        <v>31</v>
      </c>
    </row>
    <row r="891" spans="13:34" ht="34" x14ac:dyDescent="0.2">
      <c r="M891" s="11" t="s">
        <v>925</v>
      </c>
      <c r="N891" s="28" t="s">
        <v>360</v>
      </c>
      <c r="O891" s="11">
        <f>INDEX(EndOfLife!$T$64:$V$80,MATCH(dataforsankey!$P891,EndOfLife!$S$64:$S$80,0),MATCH(dataforsankey!$N891,EndOfLife!$T$63:$V$63,0))</f>
        <v>7.8218993517413515E-2</v>
      </c>
      <c r="P891" t="s">
        <v>19</v>
      </c>
      <c r="S891" t="s">
        <v>872</v>
      </c>
      <c r="T891" t="s">
        <v>99</v>
      </c>
      <c r="U891" s="11">
        <f t="shared" si="61"/>
        <v>0</v>
      </c>
      <c r="V891" t="s">
        <v>575</v>
      </c>
      <c r="Y891" s="11" t="s">
        <v>191</v>
      </c>
      <c r="Z891" s="11" t="s">
        <v>225</v>
      </c>
      <c r="AA891" s="11">
        <f>INDEX(Bandwidth!$B$290:$T$306,MATCH(dataforsankey!$AB891,Bandwidth!$A$290:$A$306,0),MATCH(dataforsankey!$Z891,Bandwidth!$B$289:$T$289,0))</f>
        <v>0</v>
      </c>
      <c r="AB891" s="28" t="s">
        <v>7</v>
      </c>
      <c r="AE891" s="11" t="s">
        <v>191</v>
      </c>
      <c r="AF891" s="11" t="s">
        <v>225</v>
      </c>
      <c r="AG891" s="11">
        <f>INDEX(Bandwidth!$B$353:$T$369,MATCH(dataforsankey!$AH891,Bandwidth!$A$290:$A$306,0),MATCH(dataforsankey!$AF891,Bandwidth!$B$289:$T$289,0))</f>
        <v>0</v>
      </c>
      <c r="AH891" t="s">
        <v>31</v>
      </c>
    </row>
    <row r="892" spans="13:34" ht="17" x14ac:dyDescent="0.2">
      <c r="M892" s="11" t="s">
        <v>925</v>
      </c>
      <c r="N892" s="28" t="s">
        <v>361</v>
      </c>
      <c r="O892" s="11">
        <f>INDEX(EndOfLife!$T$64:$V$80,MATCH(dataforsankey!$P892,EndOfLife!$S$64:$S$80,0),MATCH(dataforsankey!$N892,EndOfLife!$T$63:$V$63,0))</f>
        <v>3.9246402815038287E-2</v>
      </c>
      <c r="P892" t="s">
        <v>19</v>
      </c>
      <c r="S892" t="s">
        <v>872</v>
      </c>
      <c r="T892" t="s">
        <v>69</v>
      </c>
      <c r="U892" s="11">
        <f t="shared" si="61"/>
        <v>0</v>
      </c>
      <c r="V892" t="s">
        <v>575</v>
      </c>
      <c r="Y892" s="11" t="s">
        <v>191</v>
      </c>
      <c r="Z892" s="11" t="s">
        <v>226</v>
      </c>
      <c r="AA892" s="11">
        <f>INDEX(Bandwidth!$B$290:$T$306,MATCH(dataforsankey!$AB892,Bandwidth!$A$290:$A$306,0),MATCH(dataforsankey!$Z892,Bandwidth!$B$289:$T$289,0))</f>
        <v>0</v>
      </c>
      <c r="AB892" s="28" t="s">
        <v>7</v>
      </c>
      <c r="AE892" s="11" t="s">
        <v>191</v>
      </c>
      <c r="AF892" s="11" t="s">
        <v>226</v>
      </c>
      <c r="AG892" s="11">
        <f>INDEX(Bandwidth!$B$353:$T$369,MATCH(dataforsankey!$AH892,Bandwidth!$A$290:$A$306,0),MATCH(dataforsankey!$AF892,Bandwidth!$B$289:$T$289,0))</f>
        <v>0</v>
      </c>
      <c r="AH892" t="s">
        <v>31</v>
      </c>
    </row>
    <row r="893" spans="13:34" ht="34" x14ac:dyDescent="0.2">
      <c r="M893" t="s">
        <v>191</v>
      </c>
      <c r="N893" s="28" t="s">
        <v>360</v>
      </c>
      <c r="O893" s="11">
        <f>INDEX(EndOfLife!$T$64:$V$80,MATCH(dataforsankey!$P893,EndOfLife!$S$64:$S$80,0),MATCH(dataforsankey!$N893,EndOfLife!$T$63:$V$63,0))</f>
        <v>0.18426848892856054</v>
      </c>
      <c r="P893" t="s">
        <v>1</v>
      </c>
      <c r="S893" t="s">
        <v>872</v>
      </c>
      <c r="T893" t="s">
        <v>100</v>
      </c>
      <c r="U893" s="11">
        <f t="shared" si="61"/>
        <v>0</v>
      </c>
      <c r="V893" t="s">
        <v>575</v>
      </c>
      <c r="Y893" s="11" t="s">
        <v>191</v>
      </c>
      <c r="Z893" s="11" t="s">
        <v>279</v>
      </c>
      <c r="AA893" s="11">
        <f>INDEX(Bandwidth!$B$290:$T$306,MATCH(dataforsankey!$AB893,Bandwidth!$A$290:$A$306,0),MATCH(dataforsankey!$Z893,Bandwidth!$B$289:$T$289,0))</f>
        <v>0</v>
      </c>
      <c r="AB893" s="28" t="s">
        <v>7</v>
      </c>
      <c r="AE893" s="11" t="s">
        <v>191</v>
      </c>
      <c r="AF893" s="11" t="s">
        <v>279</v>
      </c>
      <c r="AG893" s="11">
        <f>INDEX(Bandwidth!$B$353:$T$369,MATCH(dataforsankey!$AH893,Bandwidth!$A$290:$A$306,0),MATCH(dataforsankey!$AF893,Bandwidth!$B$289:$T$289,0))</f>
        <v>0</v>
      </c>
      <c r="AH893" t="s">
        <v>31</v>
      </c>
    </row>
    <row r="894" spans="13:34" ht="17" x14ac:dyDescent="0.2">
      <c r="M894" t="s">
        <v>191</v>
      </c>
      <c r="N894" s="28" t="s">
        <v>361</v>
      </c>
      <c r="O894" s="11">
        <f>INDEX(EndOfLife!$T$64:$V$80,MATCH(dataforsankey!$P894,EndOfLife!$S$64:$S$80,0),MATCH(dataforsankey!$N894,EndOfLife!$T$63:$V$63,0))</f>
        <v>9.1743595784060952E-2</v>
      </c>
      <c r="P894" t="s">
        <v>1</v>
      </c>
      <c r="S894" t="s">
        <v>872</v>
      </c>
      <c r="T894" t="s">
        <v>39</v>
      </c>
      <c r="U894" s="11">
        <f t="shared" si="61"/>
        <v>0</v>
      </c>
      <c r="V894" t="s">
        <v>575</v>
      </c>
      <c r="Y894" t="s">
        <v>330</v>
      </c>
      <c r="Z894" s="11" t="s">
        <v>6</v>
      </c>
      <c r="AA894" s="11">
        <f>INDEX(Bandwidth!$B$290:$T$306,MATCH(dataforsankey!$AB894,Bandwidth!$A$290:$A$306,0),MATCH(dataforsankey!$Z894,Bandwidth!$B$289:$T$289,0))</f>
        <v>0</v>
      </c>
      <c r="AB894" s="28" t="s">
        <v>2</v>
      </c>
      <c r="AE894" t="s">
        <v>330</v>
      </c>
      <c r="AF894" s="11" t="s">
        <v>6</v>
      </c>
      <c r="AG894" s="11">
        <f>INDEX(Bandwidth!$B$353:$T$369,MATCH(dataforsankey!$AH894,Bandwidth!$A$290:$A$306,0),MATCH(dataforsankey!$AF894,Bandwidth!$B$289:$T$289,0))</f>
        <v>0</v>
      </c>
      <c r="AH894" t="s">
        <v>122</v>
      </c>
    </row>
    <row r="895" spans="13:34" ht="34" x14ac:dyDescent="0.2">
      <c r="M895" t="s">
        <v>191</v>
      </c>
      <c r="N895" s="28" t="s">
        <v>360</v>
      </c>
      <c r="O895" s="11">
        <f>INDEX(EndOfLife!$T$64:$V$80,MATCH(dataforsankey!$P895,EndOfLife!$S$64:$S$80,0),MATCH(dataforsankey!$N895,EndOfLife!$T$63:$V$63,0))</f>
        <v>0</v>
      </c>
      <c r="P895" t="s">
        <v>10</v>
      </c>
      <c r="S895" t="s">
        <v>872</v>
      </c>
      <c r="T895" t="s">
        <v>68</v>
      </c>
      <c r="U895" s="11">
        <f t="shared" si="61"/>
        <v>0</v>
      </c>
      <c r="V895" t="s">
        <v>575</v>
      </c>
      <c r="Y895" s="177" t="s">
        <v>330</v>
      </c>
      <c r="Z895" s="178" t="s">
        <v>191</v>
      </c>
      <c r="AA895" s="178">
        <f>INDEX(Bandwidth!$B$290:$T$306,MATCH(dataforsankey!$AB895,Bandwidth!$A$290:$A$306,0),MATCH(dataforsankey!$Z895,Bandwidth!$B$289:$T$289,0))-INDEX($AG$974:$AG$990,MATCH($AB895,$AH$974:$AH$990,0),1)</f>
        <v>3.8138937580082022</v>
      </c>
      <c r="AB895" s="181" t="s">
        <v>2</v>
      </c>
      <c r="AE895" s="177" t="s">
        <v>330</v>
      </c>
      <c r="AF895" s="178" t="s">
        <v>191</v>
      </c>
      <c r="AG895" s="178">
        <f>INDEX(Bandwidth!$T$353:$T$369,MATCH(dataforsankey!$AH895,Bandwidth!$A$353:$A$369,0),1)-INDEX($AG$974:$AG$990,MATCH($AH895,$AH$974:$AH$990,0),1)</f>
        <v>0.5906203232650975</v>
      </c>
      <c r="AH895" s="177" t="s">
        <v>122</v>
      </c>
    </row>
    <row r="896" spans="13:34" ht="17" x14ac:dyDescent="0.2">
      <c r="M896" t="s">
        <v>191</v>
      </c>
      <c r="N896" s="28" t="s">
        <v>361</v>
      </c>
      <c r="O896" s="11">
        <f>INDEX(EndOfLife!$T$64:$V$80,MATCH(dataforsankey!$P896,EndOfLife!$S$64:$S$80,0),MATCH(dataforsankey!$N896,EndOfLife!$T$63:$V$63,0))</f>
        <v>1.4811899741493821E-2</v>
      </c>
      <c r="P896" t="s">
        <v>10</v>
      </c>
      <c r="S896" t="s">
        <v>872</v>
      </c>
      <c r="T896" t="s">
        <v>63</v>
      </c>
      <c r="U896" s="11">
        <f t="shared" si="61"/>
        <v>0</v>
      </c>
      <c r="V896" t="s">
        <v>575</v>
      </c>
      <c r="Y896" s="11" t="s">
        <v>191</v>
      </c>
      <c r="Z896" s="11" t="s">
        <v>215</v>
      </c>
      <c r="AA896" s="11">
        <f>INDEX(Bandwidth!$B$290:$T$306,MATCH(dataforsankey!$AB896,Bandwidth!$A$290:$A$306,0),MATCH(dataforsankey!$Z896,Bandwidth!$B$289:$T$289,0))</f>
        <v>0.95347343950205043</v>
      </c>
      <c r="AB896" s="28" t="s">
        <v>2</v>
      </c>
      <c r="AE896" s="11" t="s">
        <v>191</v>
      </c>
      <c r="AF896" s="11" t="s">
        <v>215</v>
      </c>
      <c r="AG896" s="11">
        <f>INDEX(Bandwidth!$B$353:$T$369,MATCH(dataforsankey!$AH896,Bandwidth!$A$290:$A$306,0),MATCH(dataforsankey!$AF896,Bandwidth!$B$289:$T$289,0))</f>
        <v>0</v>
      </c>
      <c r="AH896" t="s">
        <v>122</v>
      </c>
    </row>
    <row r="897" spans="13:34" ht="34" x14ac:dyDescent="0.2">
      <c r="M897" t="s">
        <v>191</v>
      </c>
      <c r="N897" s="28" t="s">
        <v>360</v>
      </c>
      <c r="O897" s="11">
        <f>INDEX(EndOfLife!$T$64:$V$80,MATCH(dataforsankey!$P897,EndOfLife!$S$64:$S$80,0),MATCH(dataforsankey!$N897,EndOfLife!$T$63:$V$63,0))</f>
        <v>1.8055670057129148E-2</v>
      </c>
      <c r="P897" t="s">
        <v>11</v>
      </c>
      <c r="S897" t="s">
        <v>872</v>
      </c>
      <c r="T897" t="s">
        <v>92</v>
      </c>
      <c r="U897" s="11">
        <f t="shared" si="61"/>
        <v>0</v>
      </c>
      <c r="V897" t="s">
        <v>575</v>
      </c>
      <c r="Y897" s="11" t="s">
        <v>191</v>
      </c>
      <c r="Z897" s="11" t="s">
        <v>216</v>
      </c>
      <c r="AA897" s="11">
        <f>INDEX(Bandwidth!$B$290:$T$306,MATCH(dataforsankey!$AB897,Bandwidth!$A$290:$A$306,0),MATCH(dataforsankey!$Z897,Bandwidth!$B$289:$T$289,0))</f>
        <v>0.26697256306057415</v>
      </c>
      <c r="AB897" s="28" t="s">
        <v>2</v>
      </c>
      <c r="AE897" s="11" t="s">
        <v>191</v>
      </c>
      <c r="AF897" s="11" t="s">
        <v>216</v>
      </c>
      <c r="AG897" s="11">
        <f>INDEX(Bandwidth!$B$353:$T$369,MATCH(dataforsankey!$AH897,Bandwidth!$A$290:$A$306,0),MATCH(dataforsankey!$AF897,Bandwidth!$B$289:$T$289,0))</f>
        <v>0.14765508081627438</v>
      </c>
      <c r="AH897" t="s">
        <v>122</v>
      </c>
    </row>
    <row r="898" spans="13:34" ht="17" x14ac:dyDescent="0.2">
      <c r="M898" t="s">
        <v>191</v>
      </c>
      <c r="N898" s="28" t="s">
        <v>361</v>
      </c>
      <c r="O898" s="11">
        <f>INDEX(EndOfLife!$T$64:$V$80,MATCH(dataforsankey!$P898,EndOfLife!$S$64:$S$80,0),MATCH(dataforsankey!$N898,EndOfLife!$T$63:$V$63,0))</f>
        <v>3.1401165316746341E-3</v>
      </c>
      <c r="P898" t="s">
        <v>11</v>
      </c>
      <c r="S898" t="s">
        <v>872</v>
      </c>
      <c r="T898" t="s">
        <v>103</v>
      </c>
      <c r="U898" s="11">
        <f t="shared" si="61"/>
        <v>0</v>
      </c>
      <c r="V898" t="s">
        <v>575</v>
      </c>
      <c r="Y898" s="11" t="s">
        <v>191</v>
      </c>
      <c r="Z898" s="11" t="s">
        <v>217</v>
      </c>
      <c r="AA898" s="11">
        <f>INDEX(Bandwidth!$B$290:$T$306,MATCH(dataforsankey!$AB898,Bandwidth!$A$290:$A$306,0),MATCH(dataforsankey!$Z898,Bandwidth!$B$289:$T$289,0))</f>
        <v>0.61022300128131224</v>
      </c>
      <c r="AB898" s="28" t="s">
        <v>2</v>
      </c>
      <c r="AE898" s="11" t="s">
        <v>191</v>
      </c>
      <c r="AF898" s="11" t="s">
        <v>217</v>
      </c>
      <c r="AG898" s="11">
        <f>INDEX(Bandwidth!$B$353:$T$369,MATCH(dataforsankey!$AH898,Bandwidth!$A$290:$A$306,0),MATCH(dataforsankey!$AF898,Bandwidth!$B$289:$T$289,0))</f>
        <v>0.236248129306039</v>
      </c>
      <c r="AH898" t="s">
        <v>122</v>
      </c>
    </row>
    <row r="899" spans="13:34" ht="34" x14ac:dyDescent="0.2">
      <c r="M899" t="s">
        <v>191</v>
      </c>
      <c r="N899" s="28" t="s">
        <v>360</v>
      </c>
      <c r="O899" s="11">
        <f>INDEX(EndOfLife!$T$64:$V$80,MATCH(dataforsankey!$P899,EndOfLife!$S$64:$S$80,0),MATCH(dataforsankey!$N899,EndOfLife!$T$63:$V$63,0))</f>
        <v>1.8541159735217094E-2</v>
      </c>
      <c r="P899" t="s">
        <v>25</v>
      </c>
      <c r="S899" t="s">
        <v>872</v>
      </c>
      <c r="T899" t="s">
        <v>86</v>
      </c>
      <c r="U899" s="11">
        <f t="shared" si="61"/>
        <v>0.98589352833803645</v>
      </c>
      <c r="V899" t="s">
        <v>575</v>
      </c>
      <c r="Y899" s="11" t="s">
        <v>191</v>
      </c>
      <c r="Z899" s="11" t="s">
        <v>218</v>
      </c>
      <c r="AA899" s="11">
        <f>INDEX(Bandwidth!$B$290:$T$306,MATCH(dataforsankey!$AB899,Bandwidth!$A$290:$A$306,0),MATCH(dataforsankey!$Z899,Bandwidth!$B$289:$T$289,0))</f>
        <v>0.26697256306057415</v>
      </c>
      <c r="AB899" s="28" t="s">
        <v>2</v>
      </c>
      <c r="AE899" s="11" t="s">
        <v>191</v>
      </c>
      <c r="AF899" s="11" t="s">
        <v>218</v>
      </c>
      <c r="AG899" s="11">
        <f>INDEX(Bandwidth!$B$353:$T$369,MATCH(dataforsankey!$AH899,Bandwidth!$A$290:$A$306,0),MATCH(dataforsankey!$AF899,Bandwidth!$B$289:$T$289,0))</f>
        <v>0</v>
      </c>
      <c r="AH899" t="s">
        <v>122</v>
      </c>
    </row>
    <row r="900" spans="13:34" ht="17" x14ac:dyDescent="0.2">
      <c r="M900" t="s">
        <v>191</v>
      </c>
      <c r="N900" s="28" t="s">
        <v>361</v>
      </c>
      <c r="O900" s="11">
        <f>INDEX(EndOfLife!$T$64:$V$80,MATCH(dataforsankey!$P900,EndOfLife!$S$64:$S$80,0),MATCH(dataforsankey!$N900,EndOfLife!$T$63:$V$63,0))</f>
        <v>3.2245495191681904E-3</v>
      </c>
      <c r="P900" t="s">
        <v>25</v>
      </c>
      <c r="S900" t="s">
        <v>872</v>
      </c>
      <c r="T900" t="s">
        <v>18</v>
      </c>
      <c r="U900" s="11">
        <f t="shared" si="61"/>
        <v>0</v>
      </c>
      <c r="V900" t="s">
        <v>575</v>
      </c>
      <c r="Y900" s="11" t="s">
        <v>191</v>
      </c>
      <c r="Z900" s="11" t="s">
        <v>219</v>
      </c>
      <c r="AA900" s="11">
        <f>INDEX(Bandwidth!$B$290:$T$306,MATCH(dataforsankey!$AB900,Bandwidth!$A$290:$A$306,0),MATCH(dataforsankey!$Z900,Bandwidth!$B$289:$T$289,0))</f>
        <v>0.45766725096098421</v>
      </c>
      <c r="AB900" s="28" t="s">
        <v>2</v>
      </c>
      <c r="AE900" s="11" t="s">
        <v>191</v>
      </c>
      <c r="AF900" s="11" t="s">
        <v>219</v>
      </c>
      <c r="AG900" s="11">
        <f>INDEX(Bandwidth!$B$353:$T$369,MATCH(dataforsankey!$AH900,Bandwidth!$A$290:$A$306,0),MATCH(dataforsankey!$AF900,Bandwidth!$B$289:$T$289,0))</f>
        <v>0.20671711314278413</v>
      </c>
      <c r="AH900" t="s">
        <v>122</v>
      </c>
    </row>
    <row r="901" spans="13:34" ht="34" x14ac:dyDescent="0.2">
      <c r="M901" t="s">
        <v>191</v>
      </c>
      <c r="N901" s="28" t="s">
        <v>360</v>
      </c>
      <c r="O901" s="11">
        <f>INDEX(EndOfLife!$T$64:$V$80,MATCH(dataforsankey!$P901,EndOfLife!$S$64:$S$80,0),MATCH(dataforsankey!$N901,EndOfLife!$T$63:$V$63,0))</f>
        <v>0</v>
      </c>
      <c r="P901" t="s">
        <v>7</v>
      </c>
      <c r="S901" t="s">
        <v>38</v>
      </c>
      <c r="T901" s="11" t="str">
        <f>IF($M907=PlasticsUse!$D$93,Conversions!$A$17,IF($M907=PlasticsUse!$L$93,Conversions!$A$18,Conversions!$A$16))</f>
        <v>Transfer Station</v>
      </c>
      <c r="U901" s="11">
        <f t="shared" si="61"/>
        <v>0</v>
      </c>
      <c r="V901" t="s">
        <v>576</v>
      </c>
      <c r="Y901" s="11" t="s">
        <v>191</v>
      </c>
      <c r="Z901" s="11" t="s">
        <v>302</v>
      </c>
      <c r="AA901" s="11">
        <f>INDEX(Bandwidth!$B$290:$T$306,MATCH(dataforsankey!$AB901,Bandwidth!$A$290:$A$306,0),MATCH(dataforsankey!$Z901,Bandwidth!$B$289:$T$289,0))</f>
        <v>0.38138937580082022</v>
      </c>
      <c r="AB901" s="28" t="s">
        <v>2</v>
      </c>
      <c r="AE901" s="11" t="s">
        <v>191</v>
      </c>
      <c r="AF901" s="11" t="s">
        <v>302</v>
      </c>
      <c r="AG901" s="11">
        <f>INDEX(Bandwidth!$B$353:$T$369,MATCH(dataforsankey!$AH901,Bandwidth!$A$290:$A$306,0),MATCH(dataforsankey!$AF901,Bandwidth!$B$289:$T$289,0))</f>
        <v>0</v>
      </c>
      <c r="AH901" t="s">
        <v>122</v>
      </c>
    </row>
    <row r="902" spans="13:34" ht="17" x14ac:dyDescent="0.2">
      <c r="M902" t="s">
        <v>191</v>
      </c>
      <c r="N902" s="28" t="s">
        <v>361</v>
      </c>
      <c r="O902" s="11">
        <f>INDEX(EndOfLife!$T$64:$V$80,MATCH(dataforsankey!$P902,EndOfLife!$S$64:$S$80,0),MATCH(dataforsankey!$N902,EndOfLife!$T$63:$V$63,0))</f>
        <v>3.7184612663858389E-3</v>
      </c>
      <c r="P902" t="s">
        <v>7</v>
      </c>
      <c r="S902" t="s">
        <v>99</v>
      </c>
      <c r="T902" s="11" t="str">
        <f>IF($M908=PlasticsUse!$D$93,Conversions!$A$17,IF($M908=PlasticsUse!$L$93,Conversions!$A$18,Conversions!$A$16))</f>
        <v>Transfer Station</v>
      </c>
      <c r="U902" s="11">
        <f t="shared" si="61"/>
        <v>0</v>
      </c>
      <c r="V902" t="s">
        <v>576</v>
      </c>
      <c r="Y902" s="11" t="s">
        <v>191</v>
      </c>
      <c r="Z902" s="11" t="s">
        <v>220</v>
      </c>
      <c r="AA902" s="11">
        <f>INDEX(Bandwidth!$B$290:$T$306,MATCH(dataforsankey!$AB902,Bandwidth!$A$290:$A$306,0),MATCH(dataforsankey!$Z902,Bandwidth!$B$289:$T$289,0))</f>
        <v>0.26697256306057415</v>
      </c>
      <c r="AB902" s="28" t="s">
        <v>2</v>
      </c>
      <c r="AE902" s="11" t="s">
        <v>191</v>
      </c>
      <c r="AF902" s="11" t="s">
        <v>220</v>
      </c>
      <c r="AG902" s="11">
        <f>INDEX(Bandwidth!$B$353:$T$369,MATCH(dataforsankey!$AH902,Bandwidth!$A$290:$A$306,0),MATCH(dataforsankey!$AF902,Bandwidth!$B$289:$T$289,0))</f>
        <v>0</v>
      </c>
      <c r="AH902" t="s">
        <v>122</v>
      </c>
    </row>
    <row r="903" spans="13:34" ht="34" x14ac:dyDescent="0.2">
      <c r="M903" t="s">
        <v>191</v>
      </c>
      <c r="N903" s="28" t="s">
        <v>360</v>
      </c>
      <c r="O903" s="11">
        <f>INDEX(EndOfLife!$T$64:$V$80,MATCH(dataforsankey!$P903,EndOfLife!$S$64:$S$80,0),MATCH(dataforsankey!$N903,EndOfLife!$T$63:$V$63,0))</f>
        <v>0.3996841989269615</v>
      </c>
      <c r="P903" t="s">
        <v>2</v>
      </c>
      <c r="S903" t="s">
        <v>69</v>
      </c>
      <c r="T903" s="11" t="str">
        <f>IF($M909=PlasticsUse!$D$93,Conversions!$A$17,IF($M909=PlasticsUse!$L$93,Conversions!$A$18,Conversions!$A$16))</f>
        <v>Transfer Station</v>
      </c>
      <c r="U903" s="11">
        <f t="shared" si="61"/>
        <v>0</v>
      </c>
      <c r="V903" t="s">
        <v>576</v>
      </c>
      <c r="Y903" s="11" t="s">
        <v>191</v>
      </c>
      <c r="Z903" s="11" t="s">
        <v>221</v>
      </c>
      <c r="AA903" s="11">
        <f>INDEX(Bandwidth!$B$290:$T$306,MATCH(dataforsankey!$AB903,Bandwidth!$A$290:$A$306,0),MATCH(dataforsankey!$Z903,Bandwidth!$B$289:$T$289,0))</f>
        <v>0.61022300128131224</v>
      </c>
      <c r="AB903" s="28" t="s">
        <v>2</v>
      </c>
      <c r="AE903" s="11" t="s">
        <v>191</v>
      </c>
      <c r="AF903" s="11" t="s">
        <v>221</v>
      </c>
      <c r="AG903" s="11">
        <f>INDEX(Bandwidth!$B$353:$T$369,MATCH(dataforsankey!$AH903,Bandwidth!$A$290:$A$306,0),MATCH(dataforsankey!$AF903,Bandwidth!$B$289:$T$289,0))</f>
        <v>0</v>
      </c>
      <c r="AH903" t="s">
        <v>122</v>
      </c>
    </row>
    <row r="904" spans="13:34" ht="17" x14ac:dyDescent="0.2">
      <c r="M904" t="s">
        <v>191</v>
      </c>
      <c r="N904" s="28" t="s">
        <v>361</v>
      </c>
      <c r="O904" s="11">
        <f>INDEX(EndOfLife!$T$64:$V$80,MATCH(dataforsankey!$P904,EndOfLife!$S$64:$S$80,0),MATCH(dataforsankey!$N904,EndOfLife!$T$63:$V$63,0))</f>
        <v>0.17882777560237251</v>
      </c>
      <c r="P904" t="s">
        <v>2</v>
      </c>
      <c r="S904" t="s">
        <v>100</v>
      </c>
      <c r="T904" s="11" t="str">
        <f>IF($M910=PlasticsUse!$D$93,Conversions!$A$17,IF($M910=PlasticsUse!$L$93,Conversions!$A$18,Conversions!$A$16))</f>
        <v>Transfer Station</v>
      </c>
      <c r="U904" s="11">
        <f t="shared" si="61"/>
        <v>0</v>
      </c>
      <c r="V904" t="s">
        <v>576</v>
      </c>
      <c r="Y904" s="11" t="s">
        <v>191</v>
      </c>
      <c r="Z904" s="11" t="s">
        <v>222</v>
      </c>
      <c r="AA904" s="11">
        <f>INDEX(Bandwidth!$B$290:$T$306,MATCH(dataforsankey!$AB904,Bandwidth!$A$290:$A$306,0),MATCH(dataforsankey!$Z904,Bandwidth!$B$289:$T$289,0))</f>
        <v>0</v>
      </c>
      <c r="AB904" s="28" t="s">
        <v>2</v>
      </c>
      <c r="AE904" s="11" t="s">
        <v>191</v>
      </c>
      <c r="AF904" s="11" t="s">
        <v>222</v>
      </c>
      <c r="AG904" s="11">
        <f>INDEX(Bandwidth!$B$353:$T$369,MATCH(dataforsankey!$AH904,Bandwidth!$A$290:$A$306,0),MATCH(dataforsankey!$AF904,Bandwidth!$B$289:$T$289,0))</f>
        <v>0</v>
      </c>
      <c r="AH904" t="s">
        <v>122</v>
      </c>
    </row>
    <row r="905" spans="13:34" ht="34" x14ac:dyDescent="0.2">
      <c r="M905" t="s">
        <v>191</v>
      </c>
      <c r="N905" s="28" t="s">
        <v>360</v>
      </c>
      <c r="O905" s="11">
        <f>INDEX(EndOfLife!$T$64:$V$80,MATCH(dataforsankey!$P905,EndOfLife!$S$64:$S$80,0),MATCH(dataforsankey!$N905,EndOfLife!$T$63:$V$63,0))</f>
        <v>0</v>
      </c>
      <c r="P905" t="s">
        <v>30</v>
      </c>
      <c r="S905" t="s">
        <v>39</v>
      </c>
      <c r="T905" s="11" t="str">
        <f>IF($M911=PlasticsUse!$D$93,Conversions!$A$17,IF($M911=PlasticsUse!$L$93,Conversions!$A$18,Conversions!$A$16))</f>
        <v>Transfer Station</v>
      </c>
      <c r="U905" s="11">
        <f t="shared" si="61"/>
        <v>0</v>
      </c>
      <c r="V905" t="s">
        <v>576</v>
      </c>
      <c r="Y905" s="11" t="s">
        <v>191</v>
      </c>
      <c r="Z905" s="11" t="s">
        <v>223</v>
      </c>
      <c r="AA905" s="11">
        <f>INDEX(Bandwidth!$B$290:$T$306,MATCH(dataforsankey!$AB905,Bandwidth!$A$290:$A$306,0),MATCH(dataforsankey!$Z905,Bandwidth!$B$289:$T$289,0))</f>
        <v>0</v>
      </c>
      <c r="AB905" s="28" t="s">
        <v>2</v>
      </c>
      <c r="AE905" s="11" t="s">
        <v>191</v>
      </c>
      <c r="AF905" s="11" t="s">
        <v>223</v>
      </c>
      <c r="AG905" s="11">
        <f>INDEX(Bandwidth!$B$353:$T$369,MATCH(dataforsankey!$AH905,Bandwidth!$A$290:$A$306,0),MATCH(dataforsankey!$AF905,Bandwidth!$B$289:$T$289,0))</f>
        <v>0</v>
      </c>
      <c r="AH905" t="s">
        <v>122</v>
      </c>
    </row>
    <row r="906" spans="13:34" ht="17" x14ac:dyDescent="0.2">
      <c r="M906" t="s">
        <v>191</v>
      </c>
      <c r="N906" s="28" t="s">
        <v>361</v>
      </c>
      <c r="O906" s="11">
        <f>INDEX(EndOfLife!$T$64:$V$80,MATCH(dataforsankey!$P906,EndOfLife!$S$64:$S$80,0),MATCH(dataforsankey!$N906,EndOfLife!$T$63:$V$63,0))</f>
        <v>0</v>
      </c>
      <c r="P906" t="s">
        <v>30</v>
      </c>
      <c r="S906" t="s">
        <v>68</v>
      </c>
      <c r="T906" s="11" t="str">
        <f>IF($M912=PlasticsUse!$D$93,Conversions!$A$17,IF($M912=PlasticsUse!$L$93,Conversions!$A$18,Conversions!$A$16))</f>
        <v>Transfer Station</v>
      </c>
      <c r="U906" s="11">
        <f t="shared" si="61"/>
        <v>0</v>
      </c>
      <c r="V906" t="s">
        <v>576</v>
      </c>
      <c r="Y906" s="11" t="s">
        <v>191</v>
      </c>
      <c r="Z906" s="11" t="s">
        <v>224</v>
      </c>
      <c r="AA906" s="11">
        <f>INDEX(Bandwidth!$B$290:$T$306,MATCH(dataforsankey!$AB906,Bandwidth!$A$290:$A$306,0),MATCH(dataforsankey!$Z906,Bandwidth!$B$289:$T$289,0))</f>
        <v>0</v>
      </c>
      <c r="AB906" s="28" t="s">
        <v>2</v>
      </c>
      <c r="AE906" s="11" t="s">
        <v>191</v>
      </c>
      <c r="AF906" s="11" t="s">
        <v>224</v>
      </c>
      <c r="AG906" s="11">
        <f>INDEX(Bandwidth!$B$353:$T$369,MATCH(dataforsankey!$AH906,Bandwidth!$A$290:$A$306,0),MATCH(dataforsankey!$AF906,Bandwidth!$B$289:$T$289,0))</f>
        <v>0</v>
      </c>
      <c r="AH906" t="s">
        <v>122</v>
      </c>
    </row>
    <row r="907" spans="13:34" ht="34" x14ac:dyDescent="0.2">
      <c r="M907" t="s">
        <v>191</v>
      </c>
      <c r="N907" s="28" t="s">
        <v>360</v>
      </c>
      <c r="O907" s="11">
        <f>INDEX(EndOfLife!$T$64:$V$80,MATCH(dataforsankey!$P907,EndOfLife!$S$64:$S$80,0),MATCH(dataforsankey!$N907,EndOfLife!$T$63:$V$63,0))</f>
        <v>0</v>
      </c>
      <c r="P907" t="s">
        <v>31</v>
      </c>
      <c r="S907" t="s">
        <v>63</v>
      </c>
      <c r="T907" s="11" t="str">
        <f>IF($M913=PlasticsUse!$D$93,Conversions!$A$17,IF($M913=PlasticsUse!$L$93,Conversions!$A$18,Conversions!$A$16))</f>
        <v>Transfer Station</v>
      </c>
      <c r="U907" s="11">
        <f t="shared" si="61"/>
        <v>0</v>
      </c>
      <c r="V907" t="s">
        <v>576</v>
      </c>
      <c r="Y907" s="11" t="s">
        <v>191</v>
      </c>
      <c r="Z907" s="11" t="s">
        <v>225</v>
      </c>
      <c r="AA907" s="11">
        <f>INDEX(Bandwidth!$B$290:$T$306,MATCH(dataforsankey!$AB907,Bandwidth!$A$290:$A$306,0),MATCH(dataforsankey!$Z907,Bandwidth!$B$289:$T$289,0))</f>
        <v>0</v>
      </c>
      <c r="AB907" s="28" t="s">
        <v>2</v>
      </c>
      <c r="AE907" s="11" t="s">
        <v>191</v>
      </c>
      <c r="AF907" s="11" t="s">
        <v>225</v>
      </c>
      <c r="AG907" s="11">
        <f>INDEX(Bandwidth!$B$353:$T$369,MATCH(dataforsankey!$AH907,Bandwidth!$A$290:$A$306,0),MATCH(dataforsankey!$AF907,Bandwidth!$B$289:$T$289,0))</f>
        <v>0</v>
      </c>
      <c r="AH907" t="s">
        <v>122</v>
      </c>
    </row>
    <row r="908" spans="13:34" ht="17" x14ac:dyDescent="0.2">
      <c r="M908" t="s">
        <v>191</v>
      </c>
      <c r="N908" s="28" t="s">
        <v>361</v>
      </c>
      <c r="O908" s="11">
        <f>INDEX(EndOfLife!$T$64:$V$80,MATCH(dataforsankey!$P908,EndOfLife!$S$64:$S$80,0),MATCH(dataforsankey!$N908,EndOfLife!$T$63:$V$63,0))</f>
        <v>0</v>
      </c>
      <c r="P908" t="s">
        <v>31</v>
      </c>
      <c r="S908" t="s">
        <v>92</v>
      </c>
      <c r="T908" s="11" t="str">
        <f>IF($M914=PlasticsUse!$D$93,Conversions!$A$17,IF($M914=PlasticsUse!$L$93,Conversions!$A$18,Conversions!$A$16))</f>
        <v>Transfer Station</v>
      </c>
      <c r="U908" s="11">
        <f t="shared" si="61"/>
        <v>0</v>
      </c>
      <c r="V908" t="s">
        <v>576</v>
      </c>
      <c r="Y908" s="11" t="s">
        <v>191</v>
      </c>
      <c r="Z908" s="11" t="s">
        <v>226</v>
      </c>
      <c r="AA908" s="11">
        <f>INDEX(Bandwidth!$B$290:$T$306,MATCH(dataforsankey!$AB908,Bandwidth!$A$290:$A$306,0),MATCH(dataforsankey!$Z908,Bandwidth!$B$289:$T$289,0))</f>
        <v>0</v>
      </c>
      <c r="AB908" s="28" t="s">
        <v>2</v>
      </c>
      <c r="AE908" s="11" t="s">
        <v>191</v>
      </c>
      <c r="AF908" s="11" t="s">
        <v>226</v>
      </c>
      <c r="AG908" s="11">
        <f>INDEX(Bandwidth!$B$353:$T$369,MATCH(dataforsankey!$AH908,Bandwidth!$A$290:$A$306,0),MATCH(dataforsankey!$AF908,Bandwidth!$B$289:$T$289,0))</f>
        <v>0</v>
      </c>
      <c r="AH908" t="s">
        <v>122</v>
      </c>
    </row>
    <row r="909" spans="13:34" ht="34" x14ac:dyDescent="0.2">
      <c r="M909" t="s">
        <v>191</v>
      </c>
      <c r="N909" s="28" t="s">
        <v>360</v>
      </c>
      <c r="O909" s="11">
        <f>INDEX(EndOfLife!$T$64:$V$80,MATCH(dataforsankey!$P909,EndOfLife!$S$64:$S$80,0),MATCH(dataforsankey!$N909,EndOfLife!$T$63:$V$63,0))</f>
        <v>0</v>
      </c>
      <c r="P909" t="s">
        <v>122</v>
      </c>
      <c r="S909" t="s">
        <v>103</v>
      </c>
      <c r="T909" s="11" t="str">
        <f>IF($M915=PlasticsUse!$D$93,Conversions!$A$17,IF($M915=PlasticsUse!$L$93,Conversions!$A$18,Conversions!$A$16))</f>
        <v>Transfer Station</v>
      </c>
      <c r="U909" s="11">
        <f t="shared" si="61"/>
        <v>0</v>
      </c>
      <c r="V909" t="s">
        <v>576</v>
      </c>
      <c r="Y909" s="11" t="s">
        <v>191</v>
      </c>
      <c r="Z909" s="11" t="s">
        <v>279</v>
      </c>
      <c r="AA909" s="11">
        <f>INDEX(Bandwidth!$B$290:$T$306,MATCH(dataforsankey!$AB909,Bandwidth!$A$290:$A$306,0),MATCH(dataforsankey!$Z909,Bandwidth!$B$289:$T$289,0))</f>
        <v>0</v>
      </c>
      <c r="AB909" s="28" t="s">
        <v>2</v>
      </c>
      <c r="AE909" s="11" t="s">
        <v>191</v>
      </c>
      <c r="AF909" s="11" t="s">
        <v>279</v>
      </c>
      <c r="AG909" s="11">
        <f>INDEX(Bandwidth!$B$353:$T$369,MATCH(dataforsankey!$AH909,Bandwidth!$A$290:$A$306,0),MATCH(dataforsankey!$AF909,Bandwidth!$B$289:$T$289,0))</f>
        <v>0</v>
      </c>
      <c r="AH909" t="s">
        <v>122</v>
      </c>
    </row>
    <row r="910" spans="13:34" ht="17" x14ac:dyDescent="0.2">
      <c r="M910" t="s">
        <v>191</v>
      </c>
      <c r="N910" s="28" t="s">
        <v>361</v>
      </c>
      <c r="O910" s="11">
        <f>INDEX(EndOfLife!$T$64:$V$80,MATCH(dataforsankey!$P910,EndOfLife!$S$64:$S$80,0),MATCH(dataforsankey!$N910,EndOfLife!$T$63:$V$63,0))</f>
        <v>0</v>
      </c>
      <c r="P910" t="s">
        <v>122</v>
      </c>
      <c r="S910" t="s">
        <v>86</v>
      </c>
      <c r="T910" s="11" t="str">
        <f>IF($M916=PlasticsUse!$D$93,Conversions!$A$17,IF($M916=PlasticsUse!$L$93,Conversions!$A$18,Conversions!$A$16))</f>
        <v>Transfer Station</v>
      </c>
      <c r="U910" s="11">
        <f t="shared" si="61"/>
        <v>1.8968011563510843</v>
      </c>
      <c r="V910" t="s">
        <v>576</v>
      </c>
      <c r="Y910" t="s">
        <v>330</v>
      </c>
      <c r="Z910" s="11" t="s">
        <v>6</v>
      </c>
      <c r="AA910" s="11">
        <f>INDEX(Bandwidth!$B$290:$T$306,MATCH(dataforsankey!$AB910,Bandwidth!$A$290:$A$306,0),MATCH(dataforsankey!$Z910,Bandwidth!$B$289:$T$289,0))</f>
        <v>0</v>
      </c>
      <c r="AB910" t="s">
        <v>30</v>
      </c>
      <c r="AE910" t="s">
        <v>330</v>
      </c>
      <c r="AF910" s="11" t="s">
        <v>6</v>
      </c>
      <c r="AG910" s="11">
        <f>INDEX(Bandwidth!$B$353:$T$369,MATCH(dataforsankey!$AH910,Bandwidth!$A$290:$A$306,0),MATCH(dataforsankey!$AF910,Bandwidth!$B$289:$T$289,0))</f>
        <v>0</v>
      </c>
      <c r="AH910" t="s">
        <v>32</v>
      </c>
    </row>
    <row r="911" spans="13:34" ht="34" x14ac:dyDescent="0.2">
      <c r="M911" t="s">
        <v>191</v>
      </c>
      <c r="N911" s="28" t="s">
        <v>360</v>
      </c>
      <c r="O911" s="11">
        <f>INDEX(EndOfLife!$T$64:$V$80,MATCH(dataforsankey!$P911,EndOfLife!$S$64:$S$80,0),MATCH(dataforsankey!$N911,EndOfLife!$T$63:$V$63,0))</f>
        <v>0</v>
      </c>
      <c r="P911" t="s">
        <v>32</v>
      </c>
      <c r="S911" t="s">
        <v>38</v>
      </c>
      <c r="T911" s="11" t="str">
        <f>IF($M917=PlasticsUse!$D$93,Conversions!$A$17,IF($M917=PlasticsUse!$L$93,Conversions!$A$18,Conversions!$A$16))</f>
        <v>Transfer Station</v>
      </c>
      <c r="U911" s="11">
        <f t="shared" si="61"/>
        <v>0</v>
      </c>
      <c r="V911" t="s">
        <v>575</v>
      </c>
      <c r="Y911" s="177" t="s">
        <v>330</v>
      </c>
      <c r="Z911" s="178" t="s">
        <v>191</v>
      </c>
      <c r="AA911" s="178">
        <f>INDEX(Bandwidth!$B$290:$T$306,MATCH(dataforsankey!$AB911,Bandwidth!$A$290:$A$306,0),MATCH(dataforsankey!$Z911,Bandwidth!$B$289:$T$289,0))-INDEX($AG$974:$AG$990,MATCH($AB911,$AH$974:$AH$990,0),1)</f>
        <v>0.98373668248248158</v>
      </c>
      <c r="AB911" s="177" t="s">
        <v>30</v>
      </c>
      <c r="AE911" s="177" t="s">
        <v>330</v>
      </c>
      <c r="AF911" s="178" t="s">
        <v>191</v>
      </c>
      <c r="AG911" s="178">
        <f>INDEX(Bandwidth!$T$353:$T$369,MATCH(dataforsankey!$AH911,Bandwidth!$A$353:$A$369,0),1)-INDEX($AG$974:$AG$990,MATCH($AH911,$AH$974:$AH$990,0),1)</f>
        <v>2.6585628180887868</v>
      </c>
      <c r="AH911" s="177" t="s">
        <v>32</v>
      </c>
    </row>
    <row r="912" spans="13:34" ht="17" x14ac:dyDescent="0.2">
      <c r="M912" t="s">
        <v>191</v>
      </c>
      <c r="N912" s="28" t="s">
        <v>361</v>
      </c>
      <c r="O912" s="11">
        <f>INDEX(EndOfLife!$T$64:$V$80,MATCH(dataforsankey!$P912,EndOfLife!$S$64:$S$80,0),MATCH(dataforsankey!$N912,EndOfLife!$T$63:$V$63,0))</f>
        <v>0</v>
      </c>
      <c r="P912" t="s">
        <v>32</v>
      </c>
      <c r="S912" t="s">
        <v>99</v>
      </c>
      <c r="T912" s="11" t="str">
        <f>IF($M918=PlasticsUse!$D$93,Conversions!$A$17,IF($M918=PlasticsUse!$L$93,Conversions!$A$18,Conversions!$A$16))</f>
        <v>Transfer Station</v>
      </c>
      <c r="U912" s="11">
        <f t="shared" si="61"/>
        <v>0</v>
      </c>
      <c r="V912" t="s">
        <v>575</v>
      </c>
      <c r="Y912" s="11" t="s">
        <v>191</v>
      </c>
      <c r="Z912" s="11" t="s">
        <v>215</v>
      </c>
      <c r="AA912" s="11">
        <f>INDEX(Bandwidth!$B$290:$T$306,MATCH(dataforsankey!$AB912,Bandwidth!$A$290:$A$306,0),MATCH(dataforsankey!$Z912,Bandwidth!$B$289:$T$289,0))</f>
        <v>0</v>
      </c>
      <c r="AB912" t="s">
        <v>30</v>
      </c>
      <c r="AE912" s="11" t="s">
        <v>191</v>
      </c>
      <c r="AF912" s="11" t="s">
        <v>215</v>
      </c>
      <c r="AG912" s="11">
        <f>INDEX(Bandwidth!$B$353:$T$369,MATCH(dataforsankey!$AH912,Bandwidth!$A$290:$A$306,0),MATCH(dataforsankey!$AF912,Bandwidth!$B$289:$T$289,0))</f>
        <v>1.3912014622770967</v>
      </c>
      <c r="AH912" t="s">
        <v>32</v>
      </c>
    </row>
    <row r="913" spans="13:34" ht="34" x14ac:dyDescent="0.2">
      <c r="M913" t="s">
        <v>191</v>
      </c>
      <c r="N913" s="28" t="s">
        <v>360</v>
      </c>
      <c r="O913" s="11">
        <f>INDEX(EndOfLife!$T$64:$V$80,MATCH(dataforsankey!$P913,EndOfLife!$S$64:$S$80,0),MATCH(dataforsankey!$N913,EndOfLife!$T$63:$V$63,0))</f>
        <v>0</v>
      </c>
      <c r="P913" t="s">
        <v>105</v>
      </c>
      <c r="S913" t="s">
        <v>69</v>
      </c>
      <c r="T913" s="11" t="str">
        <f>IF($M919=PlasticsUse!$D$93,Conversions!$A$17,IF($M919=PlasticsUse!$L$93,Conversions!$A$18,Conversions!$A$16))</f>
        <v>Transfer Station</v>
      </c>
      <c r="U913" s="11">
        <f t="shared" si="61"/>
        <v>0</v>
      </c>
      <c r="V913" t="s">
        <v>575</v>
      </c>
      <c r="Y913" s="11" t="s">
        <v>191</v>
      </c>
      <c r="Z913" s="11" t="s">
        <v>216</v>
      </c>
      <c r="AA913" s="11">
        <f>INDEX(Bandwidth!$B$290:$T$306,MATCH(dataforsankey!$AB913,Bandwidth!$A$290:$A$306,0),MATCH(dataforsankey!$Z913,Bandwidth!$B$289:$T$289,0))</f>
        <v>0</v>
      </c>
      <c r="AB913" t="s">
        <v>30</v>
      </c>
      <c r="AE913" s="11" t="s">
        <v>191</v>
      </c>
      <c r="AF913" s="11" t="s">
        <v>216</v>
      </c>
      <c r="AG913" s="11">
        <f>INDEX(Bandwidth!$B$353:$T$369,MATCH(dataforsankey!$AH913,Bandwidth!$A$290:$A$306,0),MATCH(dataforsankey!$AF913,Bandwidth!$B$289:$T$289,0))</f>
        <v>0</v>
      </c>
      <c r="AH913" t="s">
        <v>32</v>
      </c>
    </row>
    <row r="914" spans="13:34" ht="17" x14ac:dyDescent="0.2">
      <c r="M914" t="s">
        <v>191</v>
      </c>
      <c r="N914" s="28" t="s">
        <v>361</v>
      </c>
      <c r="O914" s="11">
        <f>INDEX(EndOfLife!$T$64:$V$80,MATCH(dataforsankey!$P914,EndOfLife!$S$64:$S$80,0),MATCH(dataforsankey!$N914,EndOfLife!$T$63:$V$63,0))</f>
        <v>0</v>
      </c>
      <c r="P914" t="s">
        <v>105</v>
      </c>
      <c r="S914" t="s">
        <v>100</v>
      </c>
      <c r="T914" s="11" t="str">
        <f>IF($M920=PlasticsUse!$D$93,Conversions!$A$17,IF($M920=PlasticsUse!$L$93,Conversions!$A$18,Conversions!$A$16))</f>
        <v>Transfer Station</v>
      </c>
      <c r="U914" s="11">
        <f t="shared" si="61"/>
        <v>0</v>
      </c>
      <c r="V914" t="s">
        <v>575</v>
      </c>
      <c r="Y914" s="11" t="s">
        <v>191</v>
      </c>
      <c r="Z914" s="11" t="s">
        <v>217</v>
      </c>
      <c r="AA914" s="11">
        <f>INDEX(Bandwidth!$B$290:$T$306,MATCH(dataforsankey!$AB914,Bandwidth!$A$290:$A$306,0),MATCH(dataforsankey!$Z914,Bandwidth!$B$289:$T$289,0))</f>
        <v>0.34661756183762138</v>
      </c>
      <c r="AB914" t="s">
        <v>30</v>
      </c>
      <c r="AE914" s="11" t="s">
        <v>191</v>
      </c>
      <c r="AF914" s="11" t="s">
        <v>217</v>
      </c>
      <c r="AG914" s="11">
        <f>INDEX(Bandwidth!$B$353:$T$369,MATCH(dataforsankey!$AH914,Bandwidth!$A$290:$A$306,0),MATCH(dataforsankey!$AF914,Bandwidth!$B$289:$T$289,0))</f>
        <v>0.48692051179698387</v>
      </c>
      <c r="AH914" t="s">
        <v>32</v>
      </c>
    </row>
    <row r="915" spans="13:34" ht="34" x14ac:dyDescent="0.2">
      <c r="M915" t="s">
        <v>191</v>
      </c>
      <c r="N915" s="28" t="s">
        <v>360</v>
      </c>
      <c r="O915" s="11">
        <f>INDEX(EndOfLife!$T$64:$V$80,MATCH(dataforsankey!$P915,EndOfLife!$S$64:$S$80,0),MATCH(dataforsankey!$N915,EndOfLife!$T$63:$V$63,0))</f>
        <v>0.13602439485340947</v>
      </c>
      <c r="P915" t="s">
        <v>576</v>
      </c>
      <c r="S915" t="s">
        <v>39</v>
      </c>
      <c r="T915" s="11" t="str">
        <f>IF($M921=PlasticsUse!$D$93,Conversions!$A$17,IF($M921=PlasticsUse!$L$93,Conversions!$A$18,Conversions!$A$16))</f>
        <v>Transfer Station</v>
      </c>
      <c r="U915" s="11">
        <f t="shared" si="61"/>
        <v>0</v>
      </c>
      <c r="V915" t="s">
        <v>575</v>
      </c>
      <c r="Y915" s="11" t="s">
        <v>191</v>
      </c>
      <c r="Z915" s="11" t="s">
        <v>218</v>
      </c>
      <c r="AA915" s="11">
        <f>INDEX(Bandwidth!$B$290:$T$306,MATCH(dataforsankey!$AB915,Bandwidth!$A$290:$A$306,0),MATCH(dataforsankey!$Z915,Bandwidth!$B$289:$T$289,0))</f>
        <v>0</v>
      </c>
      <c r="AB915" t="s">
        <v>30</v>
      </c>
      <c r="AE915" s="11" t="s">
        <v>191</v>
      </c>
      <c r="AF915" s="11" t="s">
        <v>218</v>
      </c>
      <c r="AG915" s="11">
        <f>INDEX(Bandwidth!$B$353:$T$369,MATCH(dataforsankey!$AH915,Bandwidth!$A$290:$A$306,0),MATCH(dataforsankey!$AF915,Bandwidth!$B$289:$T$289,0))</f>
        <v>0</v>
      </c>
      <c r="AH915" t="s">
        <v>32</v>
      </c>
    </row>
    <row r="916" spans="13:34" ht="17" x14ac:dyDescent="0.2">
      <c r="M916" t="s">
        <v>191</v>
      </c>
      <c r="N916" s="28" t="s">
        <v>361</v>
      </c>
      <c r="O916" s="11">
        <f>INDEX(EndOfLife!$T$64:$V$80,MATCH(dataforsankey!$P916,EndOfLife!$S$64:$S$80,0),MATCH(dataforsankey!$N916,EndOfLife!$T$63:$V$63,0))</f>
        <v>7.2945564905118179E-2</v>
      </c>
      <c r="P916" t="s">
        <v>576</v>
      </c>
      <c r="S916" t="s">
        <v>68</v>
      </c>
      <c r="T916" s="11" t="str">
        <f>IF($M922=PlasticsUse!$D$93,Conversions!$A$17,IF($M922=PlasticsUse!$L$93,Conversions!$A$18,Conversions!$A$16))</f>
        <v>Transfer Station</v>
      </c>
      <c r="U916" s="11">
        <f t="shared" si="61"/>
        <v>0</v>
      </c>
      <c r="V916" t="s">
        <v>575</v>
      </c>
      <c r="Y916" s="11" t="s">
        <v>191</v>
      </c>
      <c r="Z916" s="11" t="s">
        <v>219</v>
      </c>
      <c r="AA916" s="11">
        <f>INDEX(Bandwidth!$B$290:$T$306,MATCH(dataforsankey!$AB916,Bandwidth!$A$290:$A$306,0),MATCH(dataforsankey!$Z916,Bandwidth!$B$289:$T$289,0))</f>
        <v>0</v>
      </c>
      <c r="AB916" t="s">
        <v>30</v>
      </c>
      <c r="AE916" s="11" t="s">
        <v>191</v>
      </c>
      <c r="AF916" s="11" t="s">
        <v>219</v>
      </c>
      <c r="AG916" s="11">
        <f>INDEX(Bandwidth!$B$353:$T$369,MATCH(dataforsankey!$AH916,Bandwidth!$A$290:$A$306,0),MATCH(dataforsankey!$AF916,Bandwidth!$B$289:$T$289,0))</f>
        <v>0.69560073113854837</v>
      </c>
      <c r="AH916" t="s">
        <v>32</v>
      </c>
    </row>
    <row r="917" spans="13:34" ht="34" x14ac:dyDescent="0.2">
      <c r="M917" t="s">
        <v>191</v>
      </c>
      <c r="N917" s="28" t="s">
        <v>360</v>
      </c>
      <c r="O917" s="11">
        <f>INDEX(EndOfLife!$T$64:$V$80,MATCH(dataforsankey!$P917,EndOfLife!$S$64:$S$80,0),MATCH(dataforsankey!$N917,EndOfLife!$T$63:$V$63,0))</f>
        <v>5.9244573129785233E-2</v>
      </c>
      <c r="P917" t="s">
        <v>575</v>
      </c>
      <c r="S917" t="s">
        <v>63</v>
      </c>
      <c r="T917" s="11" t="str">
        <f>IF($M923=PlasticsUse!$D$93,Conversions!$A$17,IF($M923=PlasticsUse!$L$93,Conversions!$A$18,Conversions!$A$16))</f>
        <v>Transfer Station</v>
      </c>
      <c r="U917" s="11">
        <f t="shared" si="61"/>
        <v>0</v>
      </c>
      <c r="V917" t="s">
        <v>575</v>
      </c>
      <c r="Y917" s="11" t="s">
        <v>191</v>
      </c>
      <c r="Z917" s="11" t="s">
        <v>302</v>
      </c>
      <c r="AA917" s="11">
        <f>INDEX(Bandwidth!$B$290:$T$306,MATCH(dataforsankey!$AB917,Bandwidth!$A$290:$A$306,0),MATCH(dataforsankey!$Z917,Bandwidth!$B$289:$T$289,0))</f>
        <v>0</v>
      </c>
      <c r="AB917" t="s">
        <v>30</v>
      </c>
      <c r="AE917" s="11" t="s">
        <v>191</v>
      </c>
      <c r="AF917" s="11" t="s">
        <v>302</v>
      </c>
      <c r="AG917" s="11">
        <f>INDEX(Bandwidth!$B$353:$T$369,MATCH(dataforsankey!$AH917,Bandwidth!$A$290:$A$306,0),MATCH(dataforsankey!$AF917,Bandwidth!$B$289:$T$289,0))</f>
        <v>0</v>
      </c>
      <c r="AH917" t="s">
        <v>32</v>
      </c>
    </row>
    <row r="918" spans="13:34" ht="17" x14ac:dyDescent="0.2">
      <c r="M918" t="s">
        <v>191</v>
      </c>
      <c r="N918" s="28" t="s">
        <v>361</v>
      </c>
      <c r="O918" s="11">
        <f>INDEX(EndOfLife!$T$64:$V$80,MATCH(dataforsankey!$P918,EndOfLife!$S$64:$S$80,0),MATCH(dataforsankey!$N918,EndOfLife!$T$63:$V$63,0))</f>
        <v>3.1770983867798815E-2</v>
      </c>
      <c r="P918" t="s">
        <v>575</v>
      </c>
      <c r="S918" t="s">
        <v>92</v>
      </c>
      <c r="T918" s="11" t="str">
        <f>IF($M924=PlasticsUse!$D$93,Conversions!$A$17,IF($M924=PlasticsUse!$L$93,Conversions!$A$18,Conversions!$A$16))</f>
        <v>Transfer Station</v>
      </c>
      <c r="U918" s="11">
        <f t="shared" si="61"/>
        <v>0</v>
      </c>
      <c r="V918" t="s">
        <v>575</v>
      </c>
      <c r="Y918" s="11" t="s">
        <v>191</v>
      </c>
      <c r="Z918" s="11" t="s">
        <v>220</v>
      </c>
      <c r="AA918" s="11">
        <f>INDEX(Bandwidth!$B$290:$T$306,MATCH(dataforsankey!$AB918,Bandwidth!$A$290:$A$306,0),MATCH(dataforsankey!$Z918,Bandwidth!$B$289:$T$289,0))</f>
        <v>0</v>
      </c>
      <c r="AB918" t="s">
        <v>30</v>
      </c>
      <c r="AE918" s="11" t="s">
        <v>191</v>
      </c>
      <c r="AF918" s="11" t="s">
        <v>220</v>
      </c>
      <c r="AG918" s="11">
        <f>INDEX(Bandwidth!$B$353:$T$369,MATCH(dataforsankey!$AH918,Bandwidth!$A$290:$A$306,0),MATCH(dataforsankey!$AF918,Bandwidth!$B$289:$T$289,0))</f>
        <v>0.45214047524005641</v>
      </c>
      <c r="AH918" t="s">
        <v>32</v>
      </c>
    </row>
    <row r="919" spans="13:34" ht="34" x14ac:dyDescent="0.2">
      <c r="M919" t="s">
        <v>191</v>
      </c>
      <c r="N919" s="28" t="s">
        <v>193</v>
      </c>
      <c r="O919" s="11">
        <f>INDEX(EndOfLife!$T$64:$V$80,MATCH(dataforsankey!$P919,EndOfLife!$S$64:$S$80,0),MATCH(dataforsankey!$N919,EndOfLife!$T$63:$V$63,0))</f>
        <v>1.1324967278435194</v>
      </c>
      <c r="P919" t="s">
        <v>82</v>
      </c>
      <c r="S919" t="s">
        <v>103</v>
      </c>
      <c r="T919" s="11" t="str">
        <f>IF($M925=PlasticsUse!$D$93,Conversions!$A$17,IF($M925=PlasticsUse!$L$93,Conversions!$A$18,Conversions!$A$16))</f>
        <v>Transfer Station</v>
      </c>
      <c r="U919" s="11">
        <f t="shared" ref="U919:U982" si="62">SUMIFS($O$23:$O$935,$M$23:$M$935,S919,$N$23:$N$935,T919,$P$23:$P$935,V919)</f>
        <v>0</v>
      </c>
      <c r="V919" t="s">
        <v>575</v>
      </c>
      <c r="Y919" s="11" t="s">
        <v>191</v>
      </c>
      <c r="Z919" s="11" t="s">
        <v>221</v>
      </c>
      <c r="AA919" s="11">
        <f>INDEX(Bandwidth!$B$290:$T$306,MATCH(dataforsankey!$AB919,Bandwidth!$A$290:$A$306,0),MATCH(dataforsankey!$Z919,Bandwidth!$B$289:$T$289,0))</f>
        <v>0.69323512367524276</v>
      </c>
      <c r="AB919" t="s">
        <v>30</v>
      </c>
      <c r="AE919" s="11" t="s">
        <v>191</v>
      </c>
      <c r="AF919" s="11" t="s">
        <v>221</v>
      </c>
      <c r="AG919" s="11">
        <f>INDEX(Bandwidth!$B$353:$T$369,MATCH(dataforsankey!$AH919,Bandwidth!$A$290:$A$306,0),MATCH(dataforsankey!$AF919,Bandwidth!$B$289:$T$289,0))</f>
        <v>0.45214047524005641</v>
      </c>
      <c r="AH919" t="s">
        <v>32</v>
      </c>
    </row>
    <row r="920" spans="13:34" ht="34" x14ac:dyDescent="0.2">
      <c r="M920" t="s">
        <v>191</v>
      </c>
      <c r="N920" s="28" t="s">
        <v>193</v>
      </c>
      <c r="O920" s="11">
        <f>INDEX(EndOfLife!$T$64:$V$80,MATCH(dataforsankey!$P920,EndOfLife!$S$64:$S$80,0),MATCH(dataforsankey!$N920,EndOfLife!$T$63:$V$63,0))</f>
        <v>0.10567464265799893</v>
      </c>
      <c r="P920" t="s">
        <v>127</v>
      </c>
      <c r="S920" t="s">
        <v>86</v>
      </c>
      <c r="T920" s="11" t="str">
        <f>IF($M926=PlasticsUse!$D$93,Conversions!$A$17,IF($M926=PlasticsUse!$L$93,Conversions!$A$18,Conversions!$A$16))</f>
        <v>Transfer Station</v>
      </c>
      <c r="U920" s="11">
        <f t="shared" si="62"/>
        <v>0.8261398622005065</v>
      </c>
      <c r="V920" t="s">
        <v>575</v>
      </c>
      <c r="Y920" s="11" t="s">
        <v>191</v>
      </c>
      <c r="Z920" s="11" t="s">
        <v>222</v>
      </c>
      <c r="AA920" s="11">
        <f>INDEX(Bandwidth!$B$290:$T$306,MATCH(dataforsankey!$AB920,Bandwidth!$A$290:$A$306,0),MATCH(dataforsankey!$Z920,Bandwidth!$B$289:$T$289,0))</f>
        <v>0</v>
      </c>
      <c r="AB920" t="s">
        <v>30</v>
      </c>
      <c r="AE920" s="11" t="s">
        <v>191</v>
      </c>
      <c r="AF920" s="11" t="s">
        <v>222</v>
      </c>
      <c r="AG920" s="11">
        <f>INDEX(Bandwidth!$B$353:$T$369,MATCH(dataforsankey!$AH920,Bandwidth!$A$290:$A$306,0),MATCH(dataforsankey!$AF920,Bandwidth!$B$289:$T$289,0))</f>
        <v>0</v>
      </c>
      <c r="AH920" t="s">
        <v>32</v>
      </c>
    </row>
    <row r="921" spans="13:34" ht="34" x14ac:dyDescent="0.2">
      <c r="M921" s="11" t="s">
        <v>925</v>
      </c>
      <c r="N921" s="28" t="s">
        <v>193</v>
      </c>
      <c r="O921" s="11">
        <f>INDEX(EndOfLife!$T$64:$V$80,MATCH(dataforsankey!$P921,EndOfLife!$S$64:$S$80,0),MATCH(dataforsankey!$N921,EndOfLife!$T$63:$V$63,0))</f>
        <v>3.3659036236280008E-3</v>
      </c>
      <c r="P921" t="s">
        <v>8</v>
      </c>
      <c r="S921" t="s">
        <v>330</v>
      </c>
      <c r="T921" t="s">
        <v>191</v>
      </c>
      <c r="U921" s="11">
        <f t="shared" si="62"/>
        <v>0.31444109994522312</v>
      </c>
      <c r="V921" s="11" t="s">
        <v>576</v>
      </c>
      <c r="Y921" s="11" t="s">
        <v>191</v>
      </c>
      <c r="Z921" s="11" t="s">
        <v>223</v>
      </c>
      <c r="AA921" s="11">
        <f>INDEX(Bandwidth!$B$290:$T$306,MATCH(dataforsankey!$AB921,Bandwidth!$A$290:$A$306,0),MATCH(dataforsankey!$Z921,Bandwidth!$B$289:$T$289,0))</f>
        <v>0.11553918727920715</v>
      </c>
      <c r="AB921" t="s">
        <v>30</v>
      </c>
      <c r="AE921" s="11" t="s">
        <v>191</v>
      </c>
      <c r="AF921" s="11" t="s">
        <v>223</v>
      </c>
      <c r="AG921" s="11">
        <f>INDEX(Bandwidth!$B$353:$T$369,MATCH(dataforsankey!$AH921,Bandwidth!$A$290:$A$306,0),MATCH(dataforsankey!$AF921,Bandwidth!$B$289:$T$289,0))</f>
        <v>0</v>
      </c>
      <c r="AH921" t="s">
        <v>32</v>
      </c>
    </row>
    <row r="922" spans="13:34" ht="34" x14ac:dyDescent="0.2">
      <c r="M922" s="11" t="s">
        <v>925</v>
      </c>
      <c r="N922" s="28" t="s">
        <v>193</v>
      </c>
      <c r="O922" s="11">
        <f>INDEX(EndOfLife!$T$64:$V$80,MATCH(dataforsankey!$P922,EndOfLife!$S$64:$S$80,0),MATCH(dataforsankey!$N922,EndOfLife!$T$63:$V$63,0))</f>
        <v>2.9206625350726169E-3</v>
      </c>
      <c r="P922" t="s">
        <v>19</v>
      </c>
      <c r="S922" t="s">
        <v>330</v>
      </c>
      <c r="T922" t="s">
        <v>333</v>
      </c>
      <c r="U922" s="11">
        <f t="shared" si="62"/>
        <v>0</v>
      </c>
      <c r="V922" s="11" t="s">
        <v>576</v>
      </c>
      <c r="Y922" s="11" t="s">
        <v>191</v>
      </c>
      <c r="Z922" s="11" t="s">
        <v>224</v>
      </c>
      <c r="AA922" s="11">
        <f>INDEX(Bandwidth!$B$290:$T$306,MATCH(dataforsankey!$AB922,Bandwidth!$A$290:$A$306,0),MATCH(dataforsankey!$Z922,Bandwidth!$B$289:$T$289,0))</f>
        <v>0</v>
      </c>
      <c r="AB922" t="s">
        <v>30</v>
      </c>
      <c r="AE922" s="11" t="s">
        <v>191</v>
      </c>
      <c r="AF922" s="11" t="s">
        <v>224</v>
      </c>
      <c r="AG922" s="11">
        <f>INDEX(Bandwidth!$B$353:$T$369,MATCH(dataforsankey!$AH922,Bandwidth!$A$290:$A$306,0),MATCH(dataforsankey!$AF922,Bandwidth!$B$289:$T$289,0))</f>
        <v>0</v>
      </c>
      <c r="AH922" t="s">
        <v>32</v>
      </c>
    </row>
    <row r="923" spans="13:34" ht="34" x14ac:dyDescent="0.2">
      <c r="M923" t="s">
        <v>191</v>
      </c>
      <c r="N923" s="28" t="s">
        <v>193</v>
      </c>
      <c r="O923" s="11">
        <f>INDEX(EndOfLife!$T$64:$V$80,MATCH(dataforsankey!$P923,EndOfLife!$S$64:$S$80,0),MATCH(dataforsankey!$N923,EndOfLife!$T$63:$V$63,0))</f>
        <v>5.4060614249980474E-3</v>
      </c>
      <c r="P923" t="s">
        <v>1</v>
      </c>
      <c r="S923" t="s">
        <v>330</v>
      </c>
      <c r="T923" t="s">
        <v>6</v>
      </c>
      <c r="U923" s="11">
        <f t="shared" si="62"/>
        <v>1.4230385636719229</v>
      </c>
      <c r="V923" s="11" t="s">
        <v>576</v>
      </c>
      <c r="Y923" s="11" t="s">
        <v>191</v>
      </c>
      <c r="Z923" s="11" t="s">
        <v>225</v>
      </c>
      <c r="AA923" s="11">
        <f>INDEX(Bandwidth!$B$290:$T$306,MATCH(dataforsankey!$AB923,Bandwidth!$A$290:$A$306,0),MATCH(dataforsankey!$Z923,Bandwidth!$B$289:$T$289,0))</f>
        <v>0</v>
      </c>
      <c r="AB923" t="s">
        <v>30</v>
      </c>
      <c r="AE923" s="11" t="s">
        <v>191</v>
      </c>
      <c r="AF923" s="11" t="s">
        <v>225</v>
      </c>
      <c r="AG923" s="11">
        <f>INDEX(Bandwidth!$B$353:$T$369,MATCH(dataforsankey!$AH923,Bandwidth!$A$290:$A$306,0),MATCH(dataforsankey!$AF923,Bandwidth!$B$289:$T$289,0))</f>
        <v>0</v>
      </c>
      <c r="AH923" t="s">
        <v>32</v>
      </c>
    </row>
    <row r="924" spans="13:34" ht="34" x14ac:dyDescent="0.2">
      <c r="M924" t="s">
        <v>191</v>
      </c>
      <c r="N924" s="28" t="s">
        <v>193</v>
      </c>
      <c r="O924" s="11">
        <f>INDEX(EndOfLife!$T$64:$V$80,MATCH(dataforsankey!$P924,EndOfLife!$S$64:$S$80,0),MATCH(dataforsankey!$N924,EndOfLife!$T$63:$V$63,0))</f>
        <v>0</v>
      </c>
      <c r="P924" t="s">
        <v>10</v>
      </c>
      <c r="S924" t="s">
        <v>330</v>
      </c>
      <c r="T924" t="s">
        <v>5</v>
      </c>
      <c r="U924" s="11">
        <f t="shared" si="62"/>
        <v>0.15932149273393825</v>
      </c>
      <c r="V924" s="11" t="s">
        <v>576</v>
      </c>
      <c r="Y924" s="11" t="s">
        <v>191</v>
      </c>
      <c r="Z924" s="11" t="s">
        <v>226</v>
      </c>
      <c r="AA924" s="11">
        <f>INDEX(Bandwidth!$B$290:$T$306,MATCH(dataforsankey!$AB924,Bandwidth!$A$290:$A$306,0),MATCH(dataforsankey!$Z924,Bandwidth!$B$289:$T$289,0))</f>
        <v>0</v>
      </c>
      <c r="AB924" t="s">
        <v>30</v>
      </c>
      <c r="AE924" s="11" t="s">
        <v>191</v>
      </c>
      <c r="AF924" s="11" t="s">
        <v>226</v>
      </c>
      <c r="AG924" s="11">
        <f>INDEX(Bandwidth!$B$353:$T$369,MATCH(dataforsankey!$AH924,Bandwidth!$A$290:$A$306,0),MATCH(dataforsankey!$AF924,Bandwidth!$B$289:$T$289,0))</f>
        <v>0</v>
      </c>
      <c r="AH924" t="s">
        <v>32</v>
      </c>
    </row>
    <row r="925" spans="13:34" ht="34" x14ac:dyDescent="0.2">
      <c r="M925" t="s">
        <v>191</v>
      </c>
      <c r="N925" s="28" t="s">
        <v>193</v>
      </c>
      <c r="O925" s="11">
        <f>INDEX(EndOfLife!$T$64:$V$80,MATCH(dataforsankey!$P925,EndOfLife!$S$64:$S$80,0),MATCH(dataforsankey!$N925,EndOfLife!$T$63:$V$63,0))</f>
        <v>0</v>
      </c>
      <c r="P925" t="s">
        <v>11</v>
      </c>
      <c r="S925" t="s">
        <v>330</v>
      </c>
      <c r="T925" t="s">
        <v>358</v>
      </c>
      <c r="U925" s="11">
        <f t="shared" si="62"/>
        <v>0</v>
      </c>
      <c r="V925" s="11" t="s">
        <v>576</v>
      </c>
      <c r="Y925" s="11" t="s">
        <v>191</v>
      </c>
      <c r="Z925" s="11" t="s">
        <v>279</v>
      </c>
      <c r="AA925" s="11">
        <f>INDEX(Bandwidth!$B$290:$T$306,MATCH(dataforsankey!$AB925,Bandwidth!$A$290:$A$306,0),MATCH(dataforsankey!$Z925,Bandwidth!$B$289:$T$289,0))</f>
        <v>0</v>
      </c>
      <c r="AB925" t="s">
        <v>30</v>
      </c>
      <c r="AE925" s="11" t="s">
        <v>191</v>
      </c>
      <c r="AF925" s="11" t="s">
        <v>279</v>
      </c>
      <c r="AG925" s="11">
        <f>INDEX(Bandwidth!$B$353:$T$369,MATCH(dataforsankey!$AH925,Bandwidth!$A$290:$A$306,0),MATCH(dataforsankey!$AF925,Bandwidth!$B$289:$T$289,0))</f>
        <v>0</v>
      </c>
      <c r="AH925" t="s">
        <v>32</v>
      </c>
    </row>
    <row r="926" spans="13:34" ht="34" x14ac:dyDescent="0.2">
      <c r="M926" t="s">
        <v>191</v>
      </c>
      <c r="N926" s="28" t="s">
        <v>193</v>
      </c>
      <c r="O926" s="11">
        <f>INDEX(EndOfLife!$T$64:$V$80,MATCH(dataforsankey!$P926,EndOfLife!$S$64:$S$80,0),MATCH(dataforsankey!$N926,EndOfLife!$T$63:$V$63,0))</f>
        <v>0</v>
      </c>
      <c r="P926" t="s">
        <v>25</v>
      </c>
      <c r="S926" t="s">
        <v>335</v>
      </c>
      <c r="T926" t="s">
        <v>191</v>
      </c>
      <c r="U926" s="11">
        <f t="shared" si="62"/>
        <v>0</v>
      </c>
      <c r="V926" s="11" t="s">
        <v>576</v>
      </c>
      <c r="Y926" t="s">
        <v>330</v>
      </c>
      <c r="Z926" s="11" t="s">
        <v>6</v>
      </c>
      <c r="AA926" s="11">
        <f>INDEX(Bandwidth!$B$290:$T$306,MATCH(dataforsankey!$AB926,Bandwidth!$A$290:$A$306,0),MATCH(dataforsankey!$Z926,Bandwidth!$B$289:$T$289,0))</f>
        <v>0</v>
      </c>
      <c r="AB926" t="s">
        <v>31</v>
      </c>
      <c r="AE926" t="s">
        <v>330</v>
      </c>
      <c r="AF926" s="11" t="s">
        <v>6</v>
      </c>
      <c r="AG926" s="11">
        <f>INDEX(Bandwidth!$B$353:$T$369,MATCH(dataforsankey!$AH926,Bandwidth!$A$290:$A$306,0),MATCH(dataforsankey!$AF926,Bandwidth!$B$289:$T$289,0))</f>
        <v>0</v>
      </c>
      <c r="AH926" t="s">
        <v>105</v>
      </c>
    </row>
    <row r="927" spans="13:34" ht="34" x14ac:dyDescent="0.2">
      <c r="M927" t="s">
        <v>191</v>
      </c>
      <c r="N927" s="28" t="s">
        <v>193</v>
      </c>
      <c r="O927" s="11">
        <f>INDEX(EndOfLife!$T$64:$V$80,MATCH(dataforsankey!$P927,EndOfLife!$S$64:$S$80,0),MATCH(dataforsankey!$N927,EndOfLife!$T$63:$V$63,0))</f>
        <v>1.8592306331929192E-3</v>
      </c>
      <c r="P927" t="s">
        <v>7</v>
      </c>
      <c r="S927" t="s">
        <v>335</v>
      </c>
      <c r="T927" t="s">
        <v>6</v>
      </c>
      <c r="U927" s="11">
        <f t="shared" si="62"/>
        <v>0</v>
      </c>
      <c r="V927" s="11" t="s">
        <v>576</v>
      </c>
      <c r="Y927" s="177" t="s">
        <v>330</v>
      </c>
      <c r="Z927" s="178" t="s">
        <v>191</v>
      </c>
      <c r="AA927" s="178">
        <f>INDEX(Bandwidth!$B$290:$T$306,MATCH(dataforsankey!$AB927,Bandwidth!$A$290:$A$306,0),MATCH(dataforsankey!$Z927,Bandwidth!$B$289:$T$289,0))-INDEX($AG$974:$AG$990,MATCH($AB927,$AH$974:$AH$990,0),1)</f>
        <v>0.94768971340754149</v>
      </c>
      <c r="AB927" s="177" t="s">
        <v>31</v>
      </c>
      <c r="AE927" s="177" t="s">
        <v>330</v>
      </c>
      <c r="AF927" s="178" t="s">
        <v>191</v>
      </c>
      <c r="AG927" s="178">
        <f>INDEX(Bandwidth!$T$353:$T$369,MATCH(dataforsankey!$AH927,Bandwidth!$A$353:$A$369,0),1)-INDEX($AG$974:$AG$990,MATCH($AH927,$AH$974:$AH$990,0),1)</f>
        <v>0.15904442206003677</v>
      </c>
      <c r="AH927" s="177" t="s">
        <v>105</v>
      </c>
    </row>
    <row r="928" spans="13:34" ht="34" x14ac:dyDescent="0.2">
      <c r="M928" t="s">
        <v>191</v>
      </c>
      <c r="N928" s="28" t="s">
        <v>193</v>
      </c>
      <c r="O928" s="11">
        <f>INDEX(EndOfLife!$T$64:$V$80,MATCH(dataforsankey!$P928,EndOfLife!$S$64:$S$80,0),MATCH(dataforsankey!$N928,EndOfLife!$T$63:$V$63,0))</f>
        <v>0.12443776090303338</v>
      </c>
      <c r="P928" t="s">
        <v>2</v>
      </c>
      <c r="S928" t="s">
        <v>335</v>
      </c>
      <c r="T928" t="s">
        <v>5</v>
      </c>
      <c r="U928" s="11">
        <f t="shared" si="62"/>
        <v>0</v>
      </c>
      <c r="V928" s="11" t="s">
        <v>576</v>
      </c>
      <c r="Y928" s="11" t="s">
        <v>191</v>
      </c>
      <c r="Z928" s="11" t="s">
        <v>215</v>
      </c>
      <c r="AA928" s="11">
        <f>INDEX(Bandwidth!$B$290:$T$306,MATCH(dataforsankey!$AB928,Bandwidth!$A$290:$A$306,0),MATCH(dataforsankey!$Z928,Bandwidth!$B$289:$T$289,0))</f>
        <v>0.98084169246820285</v>
      </c>
      <c r="AB928" t="s">
        <v>31</v>
      </c>
      <c r="AE928" s="11" t="s">
        <v>191</v>
      </c>
      <c r="AF928" s="11" t="s">
        <v>215</v>
      </c>
      <c r="AG928" s="11">
        <f>INDEX(Bandwidth!$B$353:$T$369,MATCH(dataforsankey!$AH928,Bandwidth!$A$290:$A$306,0),MATCH(dataforsankey!$AF928,Bandwidth!$B$289:$T$289,0))</f>
        <v>0.168655359048904</v>
      </c>
      <c r="AH928" t="s">
        <v>105</v>
      </c>
    </row>
    <row r="929" spans="13:34" ht="34" x14ac:dyDescent="0.2">
      <c r="M929" t="s">
        <v>191</v>
      </c>
      <c r="N929" s="28" t="s">
        <v>193</v>
      </c>
      <c r="O929" s="11">
        <f>INDEX(EndOfLife!$T$64:$V$80,MATCH(dataforsankey!$P929,EndOfLife!$S$64:$S$80,0),MATCH(dataforsankey!$N929,EndOfLife!$T$63:$V$63,0))</f>
        <v>0</v>
      </c>
      <c r="P929" t="s">
        <v>30</v>
      </c>
      <c r="S929" t="s">
        <v>335</v>
      </c>
      <c r="T929" t="s">
        <v>358</v>
      </c>
      <c r="U929" s="11">
        <f t="shared" si="62"/>
        <v>0</v>
      </c>
      <c r="V929" s="11" t="s">
        <v>576</v>
      </c>
      <c r="Y929" s="11" t="s">
        <v>191</v>
      </c>
      <c r="Z929" s="11" t="s">
        <v>216</v>
      </c>
      <c r="AA929" s="11">
        <f>INDEX(Bandwidth!$B$290:$T$306,MATCH(dataforsankey!$AB929,Bandwidth!$A$290:$A$306,0),MATCH(dataforsankey!$Z929,Bandwidth!$B$289:$T$289,0))</f>
        <v>0</v>
      </c>
      <c r="AB929" t="s">
        <v>31</v>
      </c>
      <c r="AE929" s="11" t="s">
        <v>191</v>
      </c>
      <c r="AF929" s="11" t="s">
        <v>216</v>
      </c>
      <c r="AG929" s="11">
        <f>INDEX(Bandwidth!$B$353:$T$369,MATCH(dataforsankey!$AH929,Bandwidth!$A$290:$A$306,0),MATCH(dataforsankey!$AF929,Bandwidth!$B$289:$T$289,0))</f>
        <v>0</v>
      </c>
      <c r="AH929" t="s">
        <v>105</v>
      </c>
    </row>
    <row r="930" spans="13:34" ht="34" x14ac:dyDescent="0.2">
      <c r="M930" t="s">
        <v>191</v>
      </c>
      <c r="N930" s="28" t="s">
        <v>193</v>
      </c>
      <c r="O930" s="11">
        <f>INDEX(EndOfLife!$T$64:$V$80,MATCH(dataforsankey!$P930,EndOfLife!$S$64:$S$80,0),MATCH(dataforsankey!$N930,EndOfLife!$T$63:$V$63,0))</f>
        <v>0</v>
      </c>
      <c r="P930" t="s">
        <v>31</v>
      </c>
      <c r="S930" t="s">
        <v>330</v>
      </c>
      <c r="T930" t="s">
        <v>191</v>
      </c>
      <c r="U930" s="11">
        <f t="shared" si="62"/>
        <v>0.13695285144102914</v>
      </c>
      <c r="V930" s="11" t="s">
        <v>575</v>
      </c>
      <c r="Y930" s="11" t="s">
        <v>191</v>
      </c>
      <c r="Z930" s="11" t="s">
        <v>217</v>
      </c>
      <c r="AA930" s="11">
        <f>INDEX(Bandwidth!$B$290:$T$306,MATCH(dataforsankey!$AB930,Bandwidth!$A$290:$A$306,0),MATCH(dataforsankey!$Z930,Bandwidth!$B$289:$T$289,0))</f>
        <v>0</v>
      </c>
      <c r="AB930" t="s">
        <v>31</v>
      </c>
      <c r="AE930" s="11" t="s">
        <v>191</v>
      </c>
      <c r="AF930" s="11" t="s">
        <v>217</v>
      </c>
      <c r="AG930" s="11">
        <f>INDEX(Bandwidth!$B$353:$T$369,MATCH(dataforsankey!$AH930,Bandwidth!$A$290:$A$306,0),MATCH(dataforsankey!$AF930,Bandwidth!$B$289:$T$289,0))</f>
        <v>0</v>
      </c>
      <c r="AH930" t="s">
        <v>105</v>
      </c>
    </row>
    <row r="931" spans="13:34" ht="34" x14ac:dyDescent="0.2">
      <c r="M931" t="s">
        <v>191</v>
      </c>
      <c r="N931" s="28" t="s">
        <v>193</v>
      </c>
      <c r="O931" s="11">
        <f>INDEX(EndOfLife!$T$64:$V$80,MATCH(dataforsankey!$P931,EndOfLife!$S$64:$S$80,0),MATCH(dataforsankey!$N931,EndOfLife!$T$63:$V$63,0))</f>
        <v>0</v>
      </c>
      <c r="P931" t="s">
        <v>122</v>
      </c>
      <c r="S931" t="s">
        <v>330</v>
      </c>
      <c r="T931" t="s">
        <v>333</v>
      </c>
      <c r="U931" s="11">
        <f t="shared" si="62"/>
        <v>0</v>
      </c>
      <c r="V931" s="11" t="s">
        <v>575</v>
      </c>
      <c r="Y931" s="11" t="s">
        <v>191</v>
      </c>
      <c r="Z931" s="11" t="s">
        <v>218</v>
      </c>
      <c r="AA931" s="11">
        <f>INDEX(Bandwidth!$B$290:$T$306,MATCH(dataforsankey!$AB931,Bandwidth!$A$290:$A$306,0),MATCH(dataforsankey!$Z931,Bandwidth!$B$289:$T$289,0))</f>
        <v>0</v>
      </c>
      <c r="AB931" t="s">
        <v>31</v>
      </c>
      <c r="AE931" s="11" t="s">
        <v>191</v>
      </c>
      <c r="AF931" s="11" t="s">
        <v>218</v>
      </c>
      <c r="AG931" s="11">
        <f>INDEX(Bandwidth!$B$353:$T$369,MATCH(dataforsankey!$AH931,Bandwidth!$A$290:$A$306,0),MATCH(dataforsankey!$AF931,Bandwidth!$B$289:$T$289,0))</f>
        <v>0</v>
      </c>
      <c r="AH931" t="s">
        <v>105</v>
      </c>
    </row>
    <row r="932" spans="13:34" ht="34" x14ac:dyDescent="0.2">
      <c r="M932" t="s">
        <v>191</v>
      </c>
      <c r="N932" s="28" t="s">
        <v>193</v>
      </c>
      <c r="O932" s="11">
        <f>INDEX(EndOfLife!$T$64:$V$80,MATCH(dataforsankey!$P932,EndOfLife!$S$64:$S$80,0),MATCH(dataforsankey!$N932,EndOfLife!$T$63:$V$63,0))</f>
        <v>0</v>
      </c>
      <c r="P932" t="s">
        <v>32</v>
      </c>
      <c r="S932" t="s">
        <v>330</v>
      </c>
      <c r="T932" t="s">
        <v>6</v>
      </c>
      <c r="U932" s="11">
        <f t="shared" si="62"/>
        <v>0.61979553257944586</v>
      </c>
      <c r="V932" s="11" t="s">
        <v>575</v>
      </c>
      <c r="Y932" s="11" t="s">
        <v>191</v>
      </c>
      <c r="Z932" s="11" t="s">
        <v>219</v>
      </c>
      <c r="AA932" s="11">
        <f>INDEX(Bandwidth!$B$290:$T$306,MATCH(dataforsankey!$AB932,Bandwidth!$A$290:$A$306,0),MATCH(dataforsankey!$Z932,Bandwidth!$B$289:$T$289,0))</f>
        <v>0</v>
      </c>
      <c r="AB932" t="s">
        <v>31</v>
      </c>
      <c r="AE932" s="11" t="s">
        <v>191</v>
      </c>
      <c r="AF932" s="11" t="s">
        <v>219</v>
      </c>
      <c r="AG932" s="11">
        <f>INDEX(Bandwidth!$B$353:$T$369,MATCH(dataforsankey!$AH932,Bandwidth!$A$290:$A$306,0),MATCH(dataforsankey!$AF932,Bandwidth!$B$289:$T$289,0))</f>
        <v>0</v>
      </c>
      <c r="AH932" t="s">
        <v>105</v>
      </c>
    </row>
    <row r="933" spans="13:34" ht="34" x14ac:dyDescent="0.2">
      <c r="M933" t="s">
        <v>191</v>
      </c>
      <c r="N933" s="28" t="s">
        <v>193</v>
      </c>
      <c r="O933" s="11">
        <f>INDEX(EndOfLife!$T$64:$V$80,MATCH(dataforsankey!$P933,EndOfLife!$S$64:$S$80,0),MATCH(dataforsankey!$N933,EndOfLife!$T$63:$V$63,0))</f>
        <v>0</v>
      </c>
      <c r="P933" t="s">
        <v>105</v>
      </c>
      <c r="S933" t="s">
        <v>330</v>
      </c>
      <c r="T933" t="s">
        <v>5</v>
      </c>
      <c r="U933" s="11">
        <f t="shared" si="62"/>
        <v>6.9391478180031482E-2</v>
      </c>
      <c r="V933" s="11" t="s">
        <v>575</v>
      </c>
      <c r="Y933" s="11" t="s">
        <v>191</v>
      </c>
      <c r="Z933" s="11" t="s">
        <v>302</v>
      </c>
      <c r="AA933" s="11">
        <f>INDEX(Bandwidth!$B$290:$T$306,MATCH(dataforsankey!$AB933,Bandwidth!$A$290:$A$306,0),MATCH(dataforsankey!$Z933,Bandwidth!$B$289:$T$289,0))</f>
        <v>0</v>
      </c>
      <c r="AB933" t="s">
        <v>31</v>
      </c>
      <c r="AE933" s="11" t="s">
        <v>191</v>
      </c>
      <c r="AF933" s="11" t="s">
        <v>302</v>
      </c>
      <c r="AG933" s="11">
        <f>INDEX(Bandwidth!$B$353:$T$369,MATCH(dataforsankey!$AH933,Bandwidth!$A$290:$A$306,0),MATCH(dataforsankey!$AF933,Bandwidth!$B$289:$T$289,0))</f>
        <v>0</v>
      </c>
      <c r="AH933" t="s">
        <v>105</v>
      </c>
    </row>
    <row r="934" spans="13:34" ht="34" x14ac:dyDescent="0.2">
      <c r="M934" t="s">
        <v>191</v>
      </c>
      <c r="N934" s="28" t="s">
        <v>193</v>
      </c>
      <c r="O934" s="11">
        <f>INDEX(EndOfLife!$T$64:$V$80,MATCH(dataforsankey!$P934,EndOfLife!$S$64:$S$80,0),MATCH(dataforsankey!$N934,EndOfLife!$T$63:$V$63,0))</f>
        <v>0.10547114018669546</v>
      </c>
      <c r="P934" t="s">
        <v>576</v>
      </c>
      <c r="S934" t="s">
        <v>330</v>
      </c>
      <c r="T934" t="s">
        <v>358</v>
      </c>
      <c r="U934" s="11">
        <f t="shared" si="62"/>
        <v>0</v>
      </c>
      <c r="V934" s="11" t="s">
        <v>575</v>
      </c>
      <c r="Y934" s="11" t="s">
        <v>191</v>
      </c>
      <c r="Z934" s="11" t="s">
        <v>220</v>
      </c>
      <c r="AA934" s="11">
        <f>INDEX(Bandwidth!$B$290:$T$306,MATCH(dataforsankey!$AB934,Bandwidth!$A$290:$A$306,0),MATCH(dataforsankey!$Z934,Bandwidth!$B$289:$T$289,0))</f>
        <v>0</v>
      </c>
      <c r="AB934" t="s">
        <v>31</v>
      </c>
      <c r="AE934" s="11" t="s">
        <v>191</v>
      </c>
      <c r="AF934" s="11" t="s">
        <v>220</v>
      </c>
      <c r="AG934" s="11">
        <f>INDEX(Bandwidth!$B$353:$T$369,MATCH(dataforsankey!$AH934,Bandwidth!$A$290:$A$306,0),MATCH(dataforsankey!$AF934,Bandwidth!$B$289:$T$289,0))</f>
        <v>0</v>
      </c>
      <c r="AH934" t="s">
        <v>105</v>
      </c>
    </row>
    <row r="935" spans="13:34" ht="34" x14ac:dyDescent="0.2">
      <c r="M935" t="s">
        <v>191</v>
      </c>
      <c r="N935" s="28" t="s">
        <v>193</v>
      </c>
      <c r="O935" s="11">
        <f>INDEX(EndOfLife!$T$64:$V$80,MATCH(dataforsankey!$P935,EndOfLife!$S$64:$S$80,0),MATCH(dataforsankey!$N935,EndOfLife!$T$63:$V$63,0))</f>
        <v>4.5937294443445097E-2</v>
      </c>
      <c r="P935" t="s">
        <v>575</v>
      </c>
      <c r="S935" t="s">
        <v>335</v>
      </c>
      <c r="T935" t="s">
        <v>191</v>
      </c>
      <c r="U935" s="11">
        <f t="shared" si="62"/>
        <v>0</v>
      </c>
      <c r="V935" s="11" t="s">
        <v>575</v>
      </c>
      <c r="Y935" s="11" t="s">
        <v>191</v>
      </c>
      <c r="Z935" s="11" t="s">
        <v>221</v>
      </c>
      <c r="AA935" s="11">
        <f>INDEX(Bandwidth!$B$290:$T$306,MATCH(dataforsankey!$AB935,Bandwidth!$A$290:$A$306,0),MATCH(dataforsankey!$Z935,Bandwidth!$B$289:$T$289,0))</f>
        <v>0</v>
      </c>
      <c r="AB935" t="s">
        <v>31</v>
      </c>
      <c r="AE935" s="11" t="s">
        <v>191</v>
      </c>
      <c r="AF935" s="11" t="s">
        <v>221</v>
      </c>
      <c r="AG935" s="11">
        <f>INDEX(Bandwidth!$B$353:$T$369,MATCH(dataforsankey!$AH935,Bandwidth!$A$290:$A$306,0),MATCH(dataforsankey!$AF935,Bandwidth!$B$289:$T$289,0))</f>
        <v>0</v>
      </c>
      <c r="AH935" t="s">
        <v>105</v>
      </c>
    </row>
    <row r="936" spans="13:34" x14ac:dyDescent="0.2">
      <c r="M936" t="s">
        <v>38</v>
      </c>
      <c r="N936" s="11" t="s">
        <v>925</v>
      </c>
      <c r="O936" s="11">
        <f>INDEX(EndOfLife!$K$64:$P$80,MATCH(dataforsankey!P936,EndOfLife!$A$64:$A$80,0),MATCH(dataforsankey!N936,EndOfLife!$K$63:$P$63,0))*INDEX('In-Use Stocks'!$M$102:$V$118,MATCH(dataforsankey!P936,'In-Use Stocks'!$L$102:$L$118,0),MATCH(dataforsankey!M936,'In-Use Stocks'!$M$101:$V$101,0))</f>
        <v>6.6954341169023707E-3</v>
      </c>
      <c r="P936" t="s">
        <v>8</v>
      </c>
      <c r="S936" t="s">
        <v>335</v>
      </c>
      <c r="T936" t="s">
        <v>6</v>
      </c>
      <c r="U936" s="11">
        <f t="shared" si="62"/>
        <v>0</v>
      </c>
      <c r="V936" s="11" t="s">
        <v>575</v>
      </c>
      <c r="Y936" s="11" t="s">
        <v>191</v>
      </c>
      <c r="Z936" s="11" t="s">
        <v>222</v>
      </c>
      <c r="AA936" s="11">
        <f>INDEX(Bandwidth!$B$290:$T$306,MATCH(dataforsankey!$AB936,Bandwidth!$A$290:$A$306,0),MATCH(dataforsankey!$Z936,Bandwidth!$B$289:$T$289,0))</f>
        <v>0</v>
      </c>
      <c r="AB936" t="s">
        <v>31</v>
      </c>
      <c r="AE936" s="11" t="s">
        <v>191</v>
      </c>
      <c r="AF936" s="11" t="s">
        <v>222</v>
      </c>
      <c r="AG936" s="11">
        <f>INDEX(Bandwidth!$B$353:$T$369,MATCH(dataforsankey!$AH936,Bandwidth!$A$290:$A$306,0),MATCH(dataforsankey!$AF936,Bandwidth!$B$289:$T$289,0))</f>
        <v>0</v>
      </c>
      <c r="AH936" t="s">
        <v>105</v>
      </c>
    </row>
    <row r="937" spans="13:34" x14ac:dyDescent="0.2">
      <c r="M937" t="s">
        <v>99</v>
      </c>
      <c r="N937" s="11" t="s">
        <v>925</v>
      </c>
      <c r="O937" s="11">
        <f>INDEX(EndOfLife!$K$64:$P$80,MATCH(dataforsankey!P937,EndOfLife!$A$64:$A$80,0),MATCH(dataforsankey!N937,EndOfLife!$K$63:$P$63,0))*INDEX('In-Use Stocks'!$M$102:$V$118,MATCH(dataforsankey!P937,'In-Use Stocks'!$L$102:$L$118,0),MATCH(dataforsankey!M937,'In-Use Stocks'!$M$101:$V$101,0))</f>
        <v>1.6291136897160767E-2</v>
      </c>
      <c r="P937" t="s">
        <v>8</v>
      </c>
      <c r="S937" t="s">
        <v>335</v>
      </c>
      <c r="T937" t="s">
        <v>5</v>
      </c>
      <c r="U937" s="11">
        <f t="shared" si="62"/>
        <v>0</v>
      </c>
      <c r="V937" s="11" t="s">
        <v>575</v>
      </c>
      <c r="Y937" s="11" t="s">
        <v>191</v>
      </c>
      <c r="Z937" s="11" t="s">
        <v>223</v>
      </c>
      <c r="AA937" s="11">
        <f>INDEX(Bandwidth!$B$290:$T$306,MATCH(dataforsankey!$AB937,Bandwidth!$A$290:$A$306,0),MATCH(dataforsankey!$Z937,Bandwidth!$B$289:$T$289,0))</f>
        <v>0</v>
      </c>
      <c r="AB937" t="s">
        <v>31</v>
      </c>
      <c r="AE937" s="11" t="s">
        <v>191</v>
      </c>
      <c r="AF937" s="11" t="s">
        <v>223</v>
      </c>
      <c r="AG937" s="11">
        <f>INDEX(Bandwidth!$B$353:$T$369,MATCH(dataforsankey!$AH937,Bandwidth!$A$290:$A$306,0),MATCH(dataforsankey!$AF937,Bandwidth!$B$289:$T$289,0))</f>
        <v>0</v>
      </c>
      <c r="AH937" t="s">
        <v>105</v>
      </c>
    </row>
    <row r="938" spans="13:34" x14ac:dyDescent="0.2">
      <c r="M938" t="s">
        <v>100</v>
      </c>
      <c r="N938" s="11" t="s">
        <v>925</v>
      </c>
      <c r="O938" s="11">
        <f>INDEX(EndOfLife!$K$64:$P$80,MATCH(dataforsankey!P938,EndOfLife!$A$64:$A$80,0),MATCH(dataforsankey!N938,EndOfLife!$K$63:$P$63,0))*INDEX('In-Use Stocks'!$M$102:$V$118,MATCH(dataforsankey!P938,'In-Use Stocks'!$L$102:$L$118,0),MATCH(dataforsankey!M938,'In-Use Stocks'!$M$101:$V$101,0))</f>
        <v>1.2968750711800866E-2</v>
      </c>
      <c r="P938" t="s">
        <v>8</v>
      </c>
      <c r="S938" t="s">
        <v>335</v>
      </c>
      <c r="T938" t="s">
        <v>358</v>
      </c>
      <c r="U938" s="11">
        <f t="shared" si="62"/>
        <v>0</v>
      </c>
      <c r="V938" s="11" t="s">
        <v>575</v>
      </c>
      <c r="Y938" s="11" t="s">
        <v>191</v>
      </c>
      <c r="Z938" s="11" t="s">
        <v>224</v>
      </c>
      <c r="AA938" s="11">
        <f>INDEX(Bandwidth!$B$290:$T$306,MATCH(dataforsankey!$AB938,Bandwidth!$A$290:$A$306,0),MATCH(dataforsankey!$Z938,Bandwidth!$B$289:$T$289,0))</f>
        <v>0</v>
      </c>
      <c r="AB938" t="s">
        <v>31</v>
      </c>
      <c r="AE938" s="11" t="s">
        <v>191</v>
      </c>
      <c r="AF938" s="11" t="s">
        <v>224</v>
      </c>
      <c r="AG938" s="11">
        <f>INDEX(Bandwidth!$B$353:$T$369,MATCH(dataforsankey!$AH938,Bandwidth!$A$290:$A$306,0),MATCH(dataforsankey!$AF938,Bandwidth!$B$289:$T$289,0))</f>
        <v>0</v>
      </c>
      <c r="AH938" t="s">
        <v>105</v>
      </c>
    </row>
    <row r="939" spans="13:34" ht="34" x14ac:dyDescent="0.2">
      <c r="M939" t="s">
        <v>39</v>
      </c>
      <c r="N939" s="11" t="s">
        <v>925</v>
      </c>
      <c r="O939" s="11">
        <f>INDEX(EndOfLife!$K$64:$P$80,MATCH(dataforsankey!P939,EndOfLife!$A$64:$A$80,0),MATCH(dataforsankey!N939,EndOfLife!$K$63:$P$63,0))*INDEX('In-Use Stocks'!$M$102:$V$118,MATCH(dataforsankey!P939,'In-Use Stocks'!$L$102:$L$118,0),MATCH(dataforsankey!M939,'In-Use Stocks'!$M$101:$V$101,0))</f>
        <v>2.0718446097309377E-2</v>
      </c>
      <c r="P939" t="s">
        <v>8</v>
      </c>
      <c r="S939" t="s">
        <v>191</v>
      </c>
      <c r="T939" s="28" t="s">
        <v>360</v>
      </c>
      <c r="U939" s="11">
        <f t="shared" si="62"/>
        <v>0.13602439485340947</v>
      </c>
      <c r="V939" t="s">
        <v>576</v>
      </c>
      <c r="Y939" s="11" t="s">
        <v>191</v>
      </c>
      <c r="Z939" s="11" t="s">
        <v>225</v>
      </c>
      <c r="AA939" s="11">
        <f>INDEX(Bandwidth!$B$290:$T$306,MATCH(dataforsankey!$AB939,Bandwidth!$A$290:$A$306,0),MATCH(dataforsankey!$Z939,Bandwidth!$B$289:$T$289,0))</f>
        <v>0</v>
      </c>
      <c r="AB939" t="s">
        <v>31</v>
      </c>
      <c r="AE939" s="11" t="s">
        <v>191</v>
      </c>
      <c r="AF939" s="11" t="s">
        <v>225</v>
      </c>
      <c r="AG939" s="11">
        <f>INDEX(Bandwidth!$B$353:$T$369,MATCH(dataforsankey!$AH939,Bandwidth!$A$290:$A$306,0),MATCH(dataforsankey!$AF939,Bandwidth!$B$289:$T$289,0))</f>
        <v>0</v>
      </c>
      <c r="AH939" t="s">
        <v>105</v>
      </c>
    </row>
    <row r="940" spans="13:34" ht="17" x14ac:dyDescent="0.2">
      <c r="M940" t="s">
        <v>68</v>
      </c>
      <c r="N940" s="11" t="s">
        <v>925</v>
      </c>
      <c r="O940" s="11">
        <f>INDEX(EndOfLife!$K$64:$P$80,MATCH(dataforsankey!P940,EndOfLife!$A$64:$A$80,0),MATCH(dataforsankey!N940,EndOfLife!$K$63:$P$63,0))*INDEX('In-Use Stocks'!$M$102:$V$118,MATCH(dataforsankey!P940,'In-Use Stocks'!$L$102:$L$118,0),MATCH(dataforsankey!M940,'In-Use Stocks'!$M$101:$V$101,0))</f>
        <v>1.8407453987754216E-2</v>
      </c>
      <c r="P940" t="s">
        <v>8</v>
      </c>
      <c r="S940" t="s">
        <v>191</v>
      </c>
      <c r="T940" s="28" t="s">
        <v>361</v>
      </c>
      <c r="U940" s="11">
        <f t="shared" si="62"/>
        <v>7.2945564905118179E-2</v>
      </c>
      <c r="V940" t="s">
        <v>576</v>
      </c>
      <c r="Y940" s="11" t="s">
        <v>191</v>
      </c>
      <c r="Z940" s="11" t="s">
        <v>226</v>
      </c>
      <c r="AA940" s="11">
        <f>INDEX(Bandwidth!$B$290:$T$306,MATCH(dataforsankey!$AB940,Bandwidth!$A$290:$A$306,0),MATCH(dataforsankey!$Z940,Bandwidth!$B$289:$T$289,0))</f>
        <v>0</v>
      </c>
      <c r="AB940" t="s">
        <v>31</v>
      </c>
      <c r="AE940" s="11" t="s">
        <v>191</v>
      </c>
      <c r="AF940" s="11" t="s">
        <v>226</v>
      </c>
      <c r="AG940" s="11">
        <f>INDEX(Bandwidth!$B$353:$T$369,MATCH(dataforsankey!$AH940,Bandwidth!$A$290:$A$306,0),MATCH(dataforsankey!$AF940,Bandwidth!$B$289:$T$289,0))</f>
        <v>0</v>
      </c>
      <c r="AH940" t="s">
        <v>105</v>
      </c>
    </row>
    <row r="941" spans="13:34" ht="34" x14ac:dyDescent="0.2">
      <c r="M941" t="s">
        <v>63</v>
      </c>
      <c r="N941" s="11" t="s">
        <v>925</v>
      </c>
      <c r="O941" s="11">
        <f>INDEX(EndOfLife!$K$64:$P$80,MATCH(dataforsankey!P941,EndOfLife!$A$64:$A$80,0),MATCH(dataforsankey!N941,EndOfLife!$K$63:$P$63,0))*INDEX('In-Use Stocks'!$M$102:$V$118,MATCH(dataforsankey!P941,'In-Use Stocks'!$L$102:$L$118,0),MATCH(dataforsankey!M941,'In-Use Stocks'!$M$101:$V$101,0))</f>
        <v>1.68443539534406E-2</v>
      </c>
      <c r="P941" t="s">
        <v>8</v>
      </c>
      <c r="S941" t="s">
        <v>191</v>
      </c>
      <c r="T941" s="28" t="s">
        <v>360</v>
      </c>
      <c r="U941" s="11">
        <f t="shared" si="62"/>
        <v>5.9244573129785233E-2</v>
      </c>
      <c r="V941" t="s">
        <v>575</v>
      </c>
      <c r="Y941" s="11" t="s">
        <v>191</v>
      </c>
      <c r="Z941" s="11" t="s">
        <v>279</v>
      </c>
      <c r="AA941" s="11">
        <f>INDEX(Bandwidth!$B$290:$T$306,MATCH(dataforsankey!$AB941,Bandwidth!$A$290:$A$306,0),MATCH(dataforsankey!$Z941,Bandwidth!$B$289:$T$289,0))</f>
        <v>0</v>
      </c>
      <c r="AB941" t="s">
        <v>31</v>
      </c>
      <c r="AE941" s="11" t="s">
        <v>191</v>
      </c>
      <c r="AF941" s="11" t="s">
        <v>279</v>
      </c>
      <c r="AG941" s="11">
        <f>INDEX(Bandwidth!$B$353:$T$369,MATCH(dataforsankey!$AH941,Bandwidth!$A$290:$A$306,0),MATCH(dataforsankey!$AF941,Bandwidth!$B$289:$T$289,0))</f>
        <v>0.71900442541901188</v>
      </c>
      <c r="AH941" t="s">
        <v>105</v>
      </c>
    </row>
    <row r="942" spans="13:34" ht="17" x14ac:dyDescent="0.2">
      <c r="M942" t="s">
        <v>92</v>
      </c>
      <c r="N942" s="11" t="s">
        <v>925</v>
      </c>
      <c r="O942" s="11">
        <f>INDEX(EndOfLife!$K$64:$P$80,MATCH(dataforsankey!P942,EndOfLife!$A$64:$A$80,0),MATCH(dataforsankey!N942,EndOfLife!$K$63:$P$63,0))*INDEX('In-Use Stocks'!$M$102:$V$118,MATCH(dataforsankey!P942,'In-Use Stocks'!$L$102:$L$118,0),MATCH(dataforsankey!M942,'In-Use Stocks'!$M$101:$V$101,0))</f>
        <v>1.4573733857158041E-2</v>
      </c>
      <c r="P942" t="s">
        <v>8</v>
      </c>
      <c r="S942" t="s">
        <v>191</v>
      </c>
      <c r="T942" s="28" t="s">
        <v>361</v>
      </c>
      <c r="U942" s="11">
        <f t="shared" si="62"/>
        <v>3.1770983867798815E-2</v>
      </c>
      <c r="V942" t="s">
        <v>575</v>
      </c>
      <c r="Y942" t="s">
        <v>330</v>
      </c>
      <c r="Z942" s="11" t="s">
        <v>6</v>
      </c>
      <c r="AA942" s="11">
        <f>INDEX(Bandwidth!$B$290:$T$306,MATCH(dataforsankey!$AB942,Bandwidth!$A$290:$A$306,0),MATCH(dataforsankey!$Z942,Bandwidth!$B$289:$T$289,0))</f>
        <v>0</v>
      </c>
      <c r="AB942" t="s">
        <v>122</v>
      </c>
      <c r="AE942" t="s">
        <v>330</v>
      </c>
      <c r="AF942" s="11" t="s">
        <v>6</v>
      </c>
      <c r="AG942" s="11">
        <f>INDEX(Bandwidth!$B$353:$T$369,MATCH(dataforsankey!$AH942,Bandwidth!$A$290:$A$306,0),MATCH(dataforsankey!$AF942,Bandwidth!$B$289:$T$289,0))</f>
        <v>0</v>
      </c>
      <c r="AH942" t="s">
        <v>576</v>
      </c>
    </row>
    <row r="943" spans="13:34" ht="34" x14ac:dyDescent="0.2">
      <c r="M943" t="s">
        <v>103</v>
      </c>
      <c r="N943" s="11" t="s">
        <v>925</v>
      </c>
      <c r="O943" s="11">
        <f>INDEX(EndOfLife!$K$64:$P$80,MATCH(dataforsankey!P943,EndOfLife!$A$64:$A$80,0),MATCH(dataforsankey!N943,EndOfLife!$K$63:$P$63,0))*INDEX('In-Use Stocks'!$M$102:$V$118,MATCH(dataforsankey!P943,'In-Use Stocks'!$L$102:$L$118,0),MATCH(dataforsankey!M943,'In-Use Stocks'!$M$101:$V$101,0))</f>
        <v>0</v>
      </c>
      <c r="P943" t="s">
        <v>8</v>
      </c>
      <c r="S943" t="s">
        <v>191</v>
      </c>
      <c r="T943" s="28" t="s">
        <v>193</v>
      </c>
      <c r="U943" s="11">
        <f t="shared" si="62"/>
        <v>0.10547114018669546</v>
      </c>
      <c r="V943" t="s">
        <v>576</v>
      </c>
      <c r="Y943" s="177" t="s">
        <v>330</v>
      </c>
      <c r="Z943" s="178" t="s">
        <v>191</v>
      </c>
      <c r="AA943" s="178">
        <f>INDEX(Bandwidth!$B$290:$T$306,MATCH(dataforsankey!$AB943,Bandwidth!$A$290:$A$306,0),MATCH(dataforsankey!$Z943,Bandwidth!$B$289:$T$289,0))-INDEX($AG$974:$AG$990,MATCH($AB943,$AH$974:$AH$990,0),1)</f>
        <v>0.53155829093858775</v>
      </c>
      <c r="AB943" s="177" t="s">
        <v>122</v>
      </c>
      <c r="AE943" s="177" t="s">
        <v>330</v>
      </c>
      <c r="AF943" s="178" t="s">
        <v>191</v>
      </c>
      <c r="AG943" s="178">
        <f>INDEX(Bandwidth!$T$353:$T$369,MATCH(dataforsankey!$AH943,Bandwidth!$A$353:$A$369,0),1)-INDEX($AG$974:$AG$990,MATCH($AH943,$AH$974:$AH$990,0),1)</f>
        <v>1.8968011563510845</v>
      </c>
      <c r="AH943" s="177" t="s">
        <v>576</v>
      </c>
    </row>
    <row r="944" spans="13:34" ht="34" x14ac:dyDescent="0.2">
      <c r="M944" t="s">
        <v>86</v>
      </c>
      <c r="N944" s="11" t="s">
        <v>925</v>
      </c>
      <c r="O944" s="11">
        <f>INDEX(EndOfLife!$K$64:$P$80,MATCH(dataforsankey!P944,EndOfLife!$A$64:$A$80,0),MATCH(dataforsankey!N944,EndOfLife!$K$63:$P$63,0))*INDEX('In-Use Stocks'!$M$102:$V$118,MATCH(dataforsankey!P944,'In-Use Stocks'!$L$102:$L$118,0),MATCH(dataforsankey!M944,'In-Use Stocks'!$M$101:$V$101,0))</f>
        <v>1.4573733857158041E-2</v>
      </c>
      <c r="P944" t="s">
        <v>8</v>
      </c>
      <c r="S944" t="s">
        <v>191</v>
      </c>
      <c r="T944" s="28" t="s">
        <v>193</v>
      </c>
      <c r="U944" s="11">
        <f t="shared" si="62"/>
        <v>4.5937294443445097E-2</v>
      </c>
      <c r="V944" t="s">
        <v>575</v>
      </c>
      <c r="Y944" s="11" t="s">
        <v>191</v>
      </c>
      <c r="Z944" s="11" t="s">
        <v>215</v>
      </c>
      <c r="AA944" s="11">
        <f>INDEX(Bandwidth!$B$290:$T$306,MATCH(dataforsankey!$AB944,Bandwidth!$A$290:$A$306,0),MATCH(dataforsankey!$Z944,Bandwidth!$B$289:$T$289,0))</f>
        <v>0</v>
      </c>
      <c r="AB944" t="s">
        <v>122</v>
      </c>
      <c r="AE944" s="11" t="s">
        <v>191</v>
      </c>
      <c r="AF944" s="11" t="s">
        <v>215</v>
      </c>
      <c r="AG944" s="11">
        <f>INDEX(Bandwidth!$B$353:$T$369,MATCH(dataforsankey!$AH944,Bandwidth!$A$290:$A$306,0),MATCH(dataforsankey!$AF944,Bandwidth!$B$289:$T$289,0))</f>
        <v>0</v>
      </c>
      <c r="AH944" t="s">
        <v>576</v>
      </c>
    </row>
    <row r="945" spans="13:34" x14ac:dyDescent="0.2">
      <c r="M945" t="s">
        <v>38</v>
      </c>
      <c r="N945" s="11" t="s">
        <v>925</v>
      </c>
      <c r="O945" s="11">
        <f>INDEX(EndOfLife!$K$64:$P$80,MATCH(dataforsankey!P945,EndOfLife!$A$64:$A$80,0),MATCH(dataforsankey!N945,EndOfLife!$K$63:$P$63,0))*INDEX('In-Use Stocks'!$M$102:$V$118,MATCH(dataforsankey!P945,'In-Use Stocks'!$L$102:$L$118,0),MATCH(dataforsankey!M945,'In-Use Stocks'!$M$101:$V$101,0))</f>
        <v>5.809763370528697E-3</v>
      </c>
      <c r="P945" t="s">
        <v>19</v>
      </c>
      <c r="S945" s="11" t="s">
        <v>925</v>
      </c>
      <c r="T945" t="s">
        <v>360</v>
      </c>
      <c r="U945" s="11">
        <f t="shared" si="62"/>
        <v>9.0143106420287389E-2</v>
      </c>
      <c r="V945" t="s">
        <v>8</v>
      </c>
      <c r="Y945" s="11" t="s">
        <v>191</v>
      </c>
      <c r="Z945" s="11" t="s">
        <v>216</v>
      </c>
      <c r="AA945" s="11">
        <f>INDEX(Bandwidth!$B$290:$T$306,MATCH(dataforsankey!$AB945,Bandwidth!$A$290:$A$306,0),MATCH(dataforsankey!$Z945,Bandwidth!$B$289:$T$289,0))</f>
        <v>0.1181240646530195</v>
      </c>
      <c r="AB945" t="s">
        <v>122</v>
      </c>
      <c r="AE945" s="11" t="s">
        <v>191</v>
      </c>
      <c r="AF945" s="11" t="s">
        <v>216</v>
      </c>
      <c r="AG945" s="11">
        <f>INDEX(Bandwidth!$B$353:$T$369,MATCH(dataforsankey!$AH945,Bandwidth!$A$290:$A$306,0),MATCH(dataforsankey!$AF945,Bandwidth!$B$289:$T$289,0))</f>
        <v>0</v>
      </c>
      <c r="AH945" t="s">
        <v>576</v>
      </c>
    </row>
    <row r="946" spans="13:34" x14ac:dyDescent="0.2">
      <c r="M946" t="s">
        <v>99</v>
      </c>
      <c r="N946" s="11" t="s">
        <v>925</v>
      </c>
      <c r="O946" s="11">
        <f>INDEX(EndOfLife!$K$64:$P$80,MATCH(dataforsankey!P946,EndOfLife!$A$64:$A$80,0),MATCH(dataforsankey!N946,EndOfLife!$K$63:$P$63,0))*INDEX('In-Use Stocks'!$M$102:$V$118,MATCH(dataforsankey!P946,'In-Use Stocks'!$L$102:$L$118,0),MATCH(dataforsankey!M946,'In-Use Stocks'!$M$101:$V$101,0))</f>
        <v>1.4136148419481676E-2</v>
      </c>
      <c r="P946" t="s">
        <v>19</v>
      </c>
      <c r="S946" s="11" t="s">
        <v>925</v>
      </c>
      <c r="T946" t="s">
        <v>361</v>
      </c>
      <c r="U946" s="11">
        <f t="shared" si="62"/>
        <v>4.5229329942501256E-2</v>
      </c>
      <c r="V946" t="s">
        <v>8</v>
      </c>
      <c r="Y946" s="11" t="s">
        <v>191</v>
      </c>
      <c r="Z946" s="11" t="s">
        <v>217</v>
      </c>
      <c r="AA946" s="11">
        <f>INDEX(Bandwidth!$B$290:$T$306,MATCH(dataforsankey!$AB946,Bandwidth!$A$290:$A$306,0),MATCH(dataforsankey!$Z946,Bandwidth!$B$289:$T$289,0))</f>
        <v>0.20671711314278413</v>
      </c>
      <c r="AB946" t="s">
        <v>122</v>
      </c>
      <c r="AE946" s="11" t="s">
        <v>191</v>
      </c>
      <c r="AF946" s="11" t="s">
        <v>217</v>
      </c>
      <c r="AG946" s="11">
        <f>INDEX(Bandwidth!$B$353:$T$369,MATCH(dataforsankey!$AH946,Bandwidth!$A$290:$A$306,0),MATCH(dataforsankey!$AF946,Bandwidth!$B$289:$T$289,0))</f>
        <v>1.5174409250808676</v>
      </c>
      <c r="AH946" t="s">
        <v>576</v>
      </c>
    </row>
    <row r="947" spans="13:34" x14ac:dyDescent="0.2">
      <c r="M947" t="s">
        <v>100</v>
      </c>
      <c r="N947" s="11" t="s">
        <v>925</v>
      </c>
      <c r="O947" s="11">
        <f>INDEX(EndOfLife!$K$64:$P$80,MATCH(dataforsankey!P947,EndOfLife!$A$64:$A$80,0),MATCH(dataforsankey!N947,EndOfLife!$K$63:$P$63,0))*INDEX('In-Use Stocks'!$M$102:$V$118,MATCH(dataforsankey!P947,'In-Use Stocks'!$L$102:$L$118,0),MATCH(dataforsankey!M947,'In-Use Stocks'!$M$101:$V$101,0))</f>
        <v>1.1253246844253472E-2</v>
      </c>
      <c r="P947" t="s">
        <v>19</v>
      </c>
      <c r="S947" s="11" t="s">
        <v>925</v>
      </c>
      <c r="T947" t="s">
        <v>360</v>
      </c>
      <c r="U947" s="11">
        <f t="shared" si="62"/>
        <v>7.8218993517413515E-2</v>
      </c>
      <c r="V947" t="s">
        <v>19</v>
      </c>
      <c r="Y947" s="11" t="s">
        <v>191</v>
      </c>
      <c r="Z947" s="11" t="s">
        <v>218</v>
      </c>
      <c r="AA947" s="11">
        <f>INDEX(Bandwidth!$B$290:$T$306,MATCH(dataforsankey!$AB947,Bandwidth!$A$290:$A$306,0),MATCH(dataforsankey!$Z947,Bandwidth!$B$289:$T$289,0))</f>
        <v>0</v>
      </c>
      <c r="AB947" t="s">
        <v>122</v>
      </c>
      <c r="AE947" s="11" t="s">
        <v>191</v>
      </c>
      <c r="AF947" s="11" t="s">
        <v>218</v>
      </c>
      <c r="AG947" s="11">
        <f>INDEX(Bandwidth!$B$353:$T$369,MATCH(dataforsankey!$AH947,Bandwidth!$A$290:$A$306,0),MATCH(dataforsankey!$AF947,Bandwidth!$B$289:$T$289,0))</f>
        <v>0</v>
      </c>
      <c r="AH947" t="s">
        <v>576</v>
      </c>
    </row>
    <row r="948" spans="13:34" x14ac:dyDescent="0.2">
      <c r="M948" t="s">
        <v>39</v>
      </c>
      <c r="N948" s="11" t="s">
        <v>925</v>
      </c>
      <c r="O948" s="11">
        <f>INDEX(EndOfLife!$K$64:$P$80,MATCH(dataforsankey!P948,EndOfLife!$A$64:$A$80,0),MATCH(dataforsankey!N948,EndOfLife!$K$63:$P$63,0))*INDEX('In-Use Stocks'!$M$102:$V$118,MATCH(dataforsankey!P948,'In-Use Stocks'!$L$102:$L$118,0),MATCH(dataforsankey!M948,'In-Use Stocks'!$M$101:$V$101,0))</f>
        <v>1.7977814004106703E-2</v>
      </c>
      <c r="P948" t="s">
        <v>19</v>
      </c>
      <c r="S948" s="11" t="s">
        <v>925</v>
      </c>
      <c r="T948" t="s">
        <v>361</v>
      </c>
      <c r="U948" s="11">
        <f t="shared" si="62"/>
        <v>3.9246402815038287E-2</v>
      </c>
      <c r="V948" t="s">
        <v>19</v>
      </c>
      <c r="Y948" s="11" t="s">
        <v>191</v>
      </c>
      <c r="Z948" s="11" t="s">
        <v>219</v>
      </c>
      <c r="AA948" s="11">
        <f>INDEX(Bandwidth!$B$290:$T$306,MATCH(dataforsankey!$AB948,Bandwidth!$A$290:$A$306,0),MATCH(dataforsankey!$Z948,Bandwidth!$B$289:$T$289,0))</f>
        <v>0.20671711314278413</v>
      </c>
      <c r="AB948" t="s">
        <v>122</v>
      </c>
      <c r="AE948" s="11" t="s">
        <v>191</v>
      </c>
      <c r="AF948" s="11" t="s">
        <v>219</v>
      </c>
      <c r="AG948" s="11">
        <f>INDEX(Bandwidth!$B$353:$T$369,MATCH(dataforsankey!$AH948,Bandwidth!$A$290:$A$306,0),MATCH(dataforsankey!$AF948,Bandwidth!$B$289:$T$289,0))</f>
        <v>0.18968011563510845</v>
      </c>
      <c r="AH948" t="s">
        <v>576</v>
      </c>
    </row>
    <row r="949" spans="13:34" ht="34" x14ac:dyDescent="0.2">
      <c r="M949" t="s">
        <v>68</v>
      </c>
      <c r="N949" s="11" t="s">
        <v>925</v>
      </c>
      <c r="O949" s="11">
        <f>INDEX(EndOfLife!$K$64:$P$80,MATCH(dataforsankey!P949,EndOfLife!$A$64:$A$80,0),MATCH(dataforsankey!N949,EndOfLife!$K$63:$P$63,0))*INDEX('In-Use Stocks'!$M$102:$V$118,MATCH(dataforsankey!P949,'In-Use Stocks'!$L$102:$L$118,0),MATCH(dataforsankey!M949,'In-Use Stocks'!$M$101:$V$101,0))</f>
        <v>1.5972519489479167E-2</v>
      </c>
      <c r="P949" t="s">
        <v>19</v>
      </c>
      <c r="S949" s="11" t="s">
        <v>925</v>
      </c>
      <c r="T949" s="28" t="s">
        <v>193</v>
      </c>
      <c r="U949" s="11">
        <f t="shared" si="62"/>
        <v>3.3659036236280008E-3</v>
      </c>
      <c r="V949" t="s">
        <v>8</v>
      </c>
      <c r="Y949" s="11" t="s">
        <v>191</v>
      </c>
      <c r="Z949" s="11" t="s">
        <v>302</v>
      </c>
      <c r="AA949" s="11">
        <f>INDEX(Bandwidth!$B$290:$T$306,MATCH(dataforsankey!$AB949,Bandwidth!$A$290:$A$306,0),MATCH(dataforsankey!$Z949,Bandwidth!$B$289:$T$289,0))</f>
        <v>0</v>
      </c>
      <c r="AB949" t="s">
        <v>122</v>
      </c>
      <c r="AE949" s="11" t="s">
        <v>191</v>
      </c>
      <c r="AF949" s="11" t="s">
        <v>302</v>
      </c>
      <c r="AG949" s="11">
        <f>INDEX(Bandwidth!$B$353:$T$369,MATCH(dataforsankey!$AH949,Bandwidth!$A$290:$A$306,0),MATCH(dataforsankey!$AF949,Bandwidth!$B$289:$T$289,0))</f>
        <v>0</v>
      </c>
      <c r="AH949" t="s">
        <v>576</v>
      </c>
    </row>
    <row r="950" spans="13:34" ht="34" x14ac:dyDescent="0.2">
      <c r="M950" t="s">
        <v>63</v>
      </c>
      <c r="N950" s="11" t="s">
        <v>925</v>
      </c>
      <c r="O950" s="11">
        <f>INDEX(EndOfLife!$K$64:$P$80,MATCH(dataforsankey!P950,EndOfLife!$A$64:$A$80,0),MATCH(dataforsankey!N950,EndOfLife!$K$63:$P$63,0))*INDEX('In-Use Stocks'!$M$102:$V$118,MATCH(dataforsankey!P950,'In-Use Stocks'!$L$102:$L$118,0),MATCH(dataforsankey!M950,'In-Use Stocks'!$M$101:$V$101,0))</f>
        <v>1.4616186029203282E-2</v>
      </c>
      <c r="P950" t="s">
        <v>19</v>
      </c>
      <c r="S950" s="11" t="s">
        <v>925</v>
      </c>
      <c r="T950" s="28" t="s">
        <v>193</v>
      </c>
      <c r="U950" s="11">
        <f t="shared" si="62"/>
        <v>2.9206625350726169E-3</v>
      </c>
      <c r="V950" t="s">
        <v>19</v>
      </c>
      <c r="Y950" s="11" t="s">
        <v>191</v>
      </c>
      <c r="Z950" s="11" t="s">
        <v>220</v>
      </c>
      <c r="AA950" s="11">
        <f>INDEX(Bandwidth!$B$290:$T$306,MATCH(dataforsankey!$AB950,Bandwidth!$A$290:$A$306,0),MATCH(dataforsankey!$Z950,Bandwidth!$B$289:$T$289,0))</f>
        <v>0</v>
      </c>
      <c r="AB950" t="s">
        <v>122</v>
      </c>
      <c r="AE950" s="11" t="s">
        <v>191</v>
      </c>
      <c r="AF950" s="11" t="s">
        <v>220</v>
      </c>
      <c r="AG950" s="11">
        <f>INDEX(Bandwidth!$B$353:$T$369,MATCH(dataforsankey!$AH950,Bandwidth!$A$290:$A$306,0),MATCH(dataforsankey!$AF950,Bandwidth!$B$289:$T$289,0))</f>
        <v>0</v>
      </c>
      <c r="AH950" t="s">
        <v>576</v>
      </c>
    </row>
    <row r="951" spans="13:34" x14ac:dyDescent="0.2">
      <c r="M951" t="s">
        <v>92</v>
      </c>
      <c r="N951" s="11" t="s">
        <v>925</v>
      </c>
      <c r="O951" s="11">
        <f>INDEX(EndOfLife!$K$64:$P$80,MATCH(dataforsankey!P951,EndOfLife!$A$64:$A$80,0),MATCH(dataforsankey!N951,EndOfLife!$K$63:$P$63,0))*INDEX('In-Use Stocks'!$M$102:$V$118,MATCH(dataforsankey!P951,'In-Use Stocks'!$L$102:$L$118,0),MATCH(dataforsankey!M951,'In-Use Stocks'!$M$101:$V$101,0))</f>
        <v>1.2645923125642385E-2</v>
      </c>
      <c r="P951" t="s">
        <v>19</v>
      </c>
      <c r="S951" t="s">
        <v>38</v>
      </c>
      <c r="T951" s="11" t="s">
        <v>925</v>
      </c>
      <c r="U951" s="11">
        <f t="shared" ref="U951:U968" si="63">SUMIFS($O$23:$O$953,$M$23:$M$953,S951,$N$23:$N$953,T951,$P$23:$P$953,V951)</f>
        <v>6.6954341169023707E-3</v>
      </c>
      <c r="V951" t="s">
        <v>8</v>
      </c>
      <c r="Y951" s="11" t="s">
        <v>191</v>
      </c>
      <c r="Z951" s="11" t="s">
        <v>221</v>
      </c>
      <c r="AA951" s="11">
        <f>INDEX(Bandwidth!$B$290:$T$306,MATCH(dataforsankey!$AB951,Bandwidth!$A$290:$A$306,0),MATCH(dataforsankey!$Z951,Bandwidth!$B$289:$T$289,0))</f>
        <v>0</v>
      </c>
      <c r="AB951" t="s">
        <v>122</v>
      </c>
      <c r="AE951" s="11" t="s">
        <v>191</v>
      </c>
      <c r="AF951" s="11" t="s">
        <v>221</v>
      </c>
      <c r="AG951" s="11">
        <f>INDEX(Bandwidth!$B$353:$T$369,MATCH(dataforsankey!$AH951,Bandwidth!$A$290:$A$306,0),MATCH(dataforsankey!$AF951,Bandwidth!$B$289:$T$289,0))</f>
        <v>0</v>
      </c>
      <c r="AH951" t="s">
        <v>576</v>
      </c>
    </row>
    <row r="952" spans="13:34" x14ac:dyDescent="0.2">
      <c r="M952" t="s">
        <v>103</v>
      </c>
      <c r="N952" s="11" t="s">
        <v>925</v>
      </c>
      <c r="O952" s="11">
        <f>INDEX(EndOfLife!$K$64:$P$80,MATCH(dataforsankey!P952,EndOfLife!$A$64:$A$80,0),MATCH(dataforsankey!N952,EndOfLife!$K$63:$P$63,0))*INDEX('In-Use Stocks'!$M$102:$V$118,MATCH(dataforsankey!P952,'In-Use Stocks'!$L$102:$L$118,0),MATCH(dataforsankey!M952,'In-Use Stocks'!$M$101:$V$101,0))</f>
        <v>0</v>
      </c>
      <c r="P952" t="s">
        <v>19</v>
      </c>
      <c r="S952" t="s">
        <v>99</v>
      </c>
      <c r="T952" s="11" t="s">
        <v>925</v>
      </c>
      <c r="U952" s="11">
        <f t="shared" si="63"/>
        <v>1.6291136897160767E-2</v>
      </c>
      <c r="V952" t="s">
        <v>8</v>
      </c>
      <c r="Y952" s="11" t="s">
        <v>191</v>
      </c>
      <c r="Z952" s="11" t="s">
        <v>222</v>
      </c>
      <c r="AA952" s="11">
        <f>INDEX(Bandwidth!$B$290:$T$306,MATCH(dataforsankey!$AB952,Bandwidth!$A$290:$A$306,0),MATCH(dataforsankey!$Z952,Bandwidth!$B$289:$T$289,0))</f>
        <v>0</v>
      </c>
      <c r="AB952" t="s">
        <v>122</v>
      </c>
      <c r="AE952" s="11" t="s">
        <v>191</v>
      </c>
      <c r="AF952" s="11" t="s">
        <v>222</v>
      </c>
      <c r="AG952" s="11">
        <f>INDEX(Bandwidth!$B$353:$T$369,MATCH(dataforsankey!$AH952,Bandwidth!$A$290:$A$306,0),MATCH(dataforsankey!$AF952,Bandwidth!$B$289:$T$289,0))</f>
        <v>0</v>
      </c>
      <c r="AH952" t="s">
        <v>576</v>
      </c>
    </row>
    <row r="953" spans="13:34" x14ac:dyDescent="0.2">
      <c r="M953" t="s">
        <v>86</v>
      </c>
      <c r="N953" s="11" t="s">
        <v>925</v>
      </c>
      <c r="O953" s="11">
        <f>INDEX(EndOfLife!$K$64:$P$80,MATCH(dataforsankey!P953,EndOfLife!$A$64:$A$80,0),MATCH(dataforsankey!N953,EndOfLife!$K$63:$P$63,0))*INDEX('In-Use Stocks'!$M$102:$V$118,MATCH(dataforsankey!P953,'In-Use Stocks'!$L$102:$L$118,0),MATCH(dataforsankey!M953,'In-Use Stocks'!$M$101:$V$101,0))</f>
        <v>1.2645923125642385E-2</v>
      </c>
      <c r="P953" t="s">
        <v>19</v>
      </c>
      <c r="S953" t="s">
        <v>100</v>
      </c>
      <c r="T953" s="11" t="s">
        <v>925</v>
      </c>
      <c r="U953" s="11">
        <f t="shared" si="63"/>
        <v>1.2968750711800866E-2</v>
      </c>
      <c r="V953" t="s">
        <v>8</v>
      </c>
      <c r="Y953" s="11" t="s">
        <v>191</v>
      </c>
      <c r="Z953" s="11" t="s">
        <v>223</v>
      </c>
      <c r="AA953" s="11">
        <f>INDEX(Bandwidth!$B$290:$T$306,MATCH(dataforsankey!$AB953,Bandwidth!$A$290:$A$306,0),MATCH(dataforsankey!$Z953,Bandwidth!$B$289:$T$289,0))</f>
        <v>0</v>
      </c>
      <c r="AB953" t="s">
        <v>122</v>
      </c>
      <c r="AE953" s="11" t="s">
        <v>191</v>
      </c>
      <c r="AF953" s="11" t="s">
        <v>223</v>
      </c>
      <c r="AG953" s="11">
        <f>INDEX(Bandwidth!$B$353:$T$369,MATCH(dataforsankey!$AH953,Bandwidth!$A$290:$A$306,0),MATCH(dataforsankey!$AF953,Bandwidth!$B$289:$T$289,0))</f>
        <v>0.18968011563510845</v>
      </c>
      <c r="AH953" t="s">
        <v>576</v>
      </c>
    </row>
    <row r="954" spans="13:34" x14ac:dyDescent="0.2">
      <c r="S954" t="s">
        <v>39</v>
      </c>
      <c r="T954" s="11" t="s">
        <v>925</v>
      </c>
      <c r="U954" s="11">
        <f t="shared" si="63"/>
        <v>2.0718446097309377E-2</v>
      </c>
      <c r="V954" t="s">
        <v>8</v>
      </c>
      <c r="Y954" s="11" t="s">
        <v>191</v>
      </c>
      <c r="Z954" s="11" t="s">
        <v>224</v>
      </c>
      <c r="AA954" s="11">
        <f>INDEX(Bandwidth!$B$290:$T$306,MATCH(dataforsankey!$AB954,Bandwidth!$A$290:$A$306,0),MATCH(dataforsankey!$Z954,Bandwidth!$B$289:$T$289,0))</f>
        <v>0</v>
      </c>
      <c r="AB954" t="s">
        <v>122</v>
      </c>
      <c r="AE954" s="11" t="s">
        <v>191</v>
      </c>
      <c r="AF954" s="11" t="s">
        <v>224</v>
      </c>
      <c r="AG954" s="11">
        <f>INDEX(Bandwidth!$B$353:$T$369,MATCH(dataforsankey!$AH954,Bandwidth!$A$290:$A$306,0),MATCH(dataforsankey!$AF954,Bandwidth!$B$289:$T$289,0))</f>
        <v>0</v>
      </c>
      <c r="AH954" t="s">
        <v>576</v>
      </c>
    </row>
    <row r="955" spans="13:34" x14ac:dyDescent="0.2">
      <c r="S955" t="s">
        <v>68</v>
      </c>
      <c r="T955" s="11" t="s">
        <v>925</v>
      </c>
      <c r="U955" s="11">
        <f t="shared" si="63"/>
        <v>1.8407453987754216E-2</v>
      </c>
      <c r="V955" t="s">
        <v>8</v>
      </c>
      <c r="Y955" s="11" t="s">
        <v>191</v>
      </c>
      <c r="Z955" s="11" t="s">
        <v>225</v>
      </c>
      <c r="AA955" s="11">
        <f>INDEX(Bandwidth!$B$290:$T$306,MATCH(dataforsankey!$AB955,Bandwidth!$A$290:$A$306,0),MATCH(dataforsankey!$Z955,Bandwidth!$B$289:$T$289,0))</f>
        <v>0</v>
      </c>
      <c r="AB955" t="s">
        <v>122</v>
      </c>
      <c r="AE955" s="11" t="s">
        <v>191</v>
      </c>
      <c r="AF955" s="11" t="s">
        <v>225</v>
      </c>
      <c r="AG955" s="11">
        <f>INDEX(Bandwidth!$B$353:$T$369,MATCH(dataforsankey!$AH955,Bandwidth!$A$290:$A$306,0),MATCH(dataforsankey!$AF955,Bandwidth!$B$289:$T$289,0))</f>
        <v>0</v>
      </c>
      <c r="AH955" t="s">
        <v>576</v>
      </c>
    </row>
    <row r="956" spans="13:34" x14ac:dyDescent="0.2">
      <c r="S956" t="s">
        <v>63</v>
      </c>
      <c r="T956" s="11" t="s">
        <v>925</v>
      </c>
      <c r="U956" s="11">
        <f t="shared" si="63"/>
        <v>1.68443539534406E-2</v>
      </c>
      <c r="V956" t="s">
        <v>8</v>
      </c>
      <c r="Y956" s="11" t="s">
        <v>191</v>
      </c>
      <c r="Z956" s="11" t="s">
        <v>226</v>
      </c>
      <c r="AA956" s="11">
        <f>INDEX(Bandwidth!$B$290:$T$306,MATCH(dataforsankey!$AB956,Bandwidth!$A$290:$A$306,0),MATCH(dataforsankey!$Z956,Bandwidth!$B$289:$T$289,0))</f>
        <v>0</v>
      </c>
      <c r="AB956" t="s">
        <v>122</v>
      </c>
      <c r="AE956" s="11" t="s">
        <v>191</v>
      </c>
      <c r="AF956" s="11" t="s">
        <v>226</v>
      </c>
      <c r="AG956" s="11">
        <f>INDEX(Bandwidth!$B$353:$T$369,MATCH(dataforsankey!$AH956,Bandwidth!$A$290:$A$306,0),MATCH(dataforsankey!$AF956,Bandwidth!$B$289:$T$289,0))</f>
        <v>0</v>
      </c>
      <c r="AH956" t="s">
        <v>576</v>
      </c>
    </row>
    <row r="957" spans="13:34" x14ac:dyDescent="0.2">
      <c r="S957" t="s">
        <v>92</v>
      </c>
      <c r="T957" s="11" t="s">
        <v>925</v>
      </c>
      <c r="U957" s="11">
        <f t="shared" si="63"/>
        <v>1.4573733857158041E-2</v>
      </c>
      <c r="V957" t="s">
        <v>8</v>
      </c>
      <c r="Y957" s="11" t="s">
        <v>191</v>
      </c>
      <c r="Z957" s="11" t="s">
        <v>279</v>
      </c>
      <c r="AA957" s="11">
        <f>INDEX(Bandwidth!$B$290:$T$306,MATCH(dataforsankey!$AB957,Bandwidth!$A$290:$A$306,0),MATCH(dataforsankey!$Z957,Bandwidth!$B$289:$T$289,0))</f>
        <v>0</v>
      </c>
      <c r="AB957" t="s">
        <v>122</v>
      </c>
      <c r="AE957" s="11" t="s">
        <v>191</v>
      </c>
      <c r="AF957" s="11" t="s">
        <v>279</v>
      </c>
      <c r="AG957" s="11">
        <f>INDEX(Bandwidth!$B$353:$T$369,MATCH(dataforsankey!$AH957,Bandwidth!$A$290:$A$306,0),MATCH(dataforsankey!$AF957,Bandwidth!$B$289:$T$289,0))</f>
        <v>0</v>
      </c>
      <c r="AH957" t="s">
        <v>576</v>
      </c>
    </row>
    <row r="958" spans="13:34" x14ac:dyDescent="0.2">
      <c r="S958" t="s">
        <v>103</v>
      </c>
      <c r="T958" s="11" t="s">
        <v>925</v>
      </c>
      <c r="U958" s="11">
        <f t="shared" si="63"/>
        <v>0</v>
      </c>
      <c r="V958" t="s">
        <v>8</v>
      </c>
      <c r="Y958" t="s">
        <v>330</v>
      </c>
      <c r="Z958" s="11" t="s">
        <v>6</v>
      </c>
      <c r="AA958" s="11">
        <f>INDEX(Bandwidth!$B$290:$T$306,MATCH(dataforsankey!$AB958,Bandwidth!$A$290:$A$306,0),MATCH(dataforsankey!$Z958,Bandwidth!$B$289:$T$289,0))</f>
        <v>0</v>
      </c>
      <c r="AB958" t="s">
        <v>32</v>
      </c>
      <c r="AE958" t="s">
        <v>330</v>
      </c>
      <c r="AF958" s="11" t="s">
        <v>6</v>
      </c>
      <c r="AG958" s="11">
        <f>INDEX(Bandwidth!$B$353:$T$369,MATCH(dataforsankey!$AH958,Bandwidth!$A$290:$A$306,0),MATCH(dataforsankey!$AF958,Bandwidth!$B$289:$T$289,0))</f>
        <v>0</v>
      </c>
      <c r="AH958" t="s">
        <v>575</v>
      </c>
    </row>
    <row r="959" spans="13:34" x14ac:dyDescent="0.2">
      <c r="S959" t="s">
        <v>86</v>
      </c>
      <c r="T959" s="11" t="s">
        <v>925</v>
      </c>
      <c r="U959" s="11">
        <f t="shared" si="63"/>
        <v>1.4573733857158041E-2</v>
      </c>
      <c r="V959" t="s">
        <v>8</v>
      </c>
      <c r="Y959" s="177" t="s">
        <v>330</v>
      </c>
      <c r="Z959" s="178" t="s">
        <v>191</v>
      </c>
      <c r="AA959" s="178">
        <f>INDEX(Bandwidth!$B$290:$T$306,MATCH(dataforsankey!$AB959,Bandwidth!$A$290:$A$306,0),MATCH(dataforsankey!$Z959,Bandwidth!$B$289:$T$289,0))-INDEX($AG$974:$AG$990,MATCH($AB959,$AH$974:$AH$990,0),1)</f>
        <v>2.6585628180887868</v>
      </c>
      <c r="AB959" s="177" t="s">
        <v>32</v>
      </c>
      <c r="AE959" s="177" t="s">
        <v>330</v>
      </c>
      <c r="AF959" s="178" t="s">
        <v>191</v>
      </c>
      <c r="AG959" s="178">
        <f>INDEX(Bandwidth!$T$353:$T$369,MATCH(dataforsankey!$AH959,Bandwidth!$A$353:$A$369,0),1)-INDEX($AG$974:$AG$990,MATCH($AH959,$AH$974:$AH$990,0),1)</f>
        <v>0.82613986220050661</v>
      </c>
      <c r="AH959" s="177" t="s">
        <v>575</v>
      </c>
    </row>
    <row r="960" spans="13:34" x14ac:dyDescent="0.2">
      <c r="S960" t="s">
        <v>38</v>
      </c>
      <c r="T960" s="11" t="s">
        <v>925</v>
      </c>
      <c r="U960" s="11">
        <f t="shared" si="63"/>
        <v>5.809763370528697E-3</v>
      </c>
      <c r="V960" t="s">
        <v>19</v>
      </c>
      <c r="Y960" s="11" t="s">
        <v>191</v>
      </c>
      <c r="Z960" s="11" t="s">
        <v>215</v>
      </c>
      <c r="AA960" s="11">
        <f>INDEX(Bandwidth!$B$290:$T$306,MATCH(dataforsankey!$AB960,Bandwidth!$A$290:$A$306,0),MATCH(dataforsankey!$Z960,Bandwidth!$B$289:$T$289,0))</f>
        <v>1.3912014622770967</v>
      </c>
      <c r="AB960" t="s">
        <v>32</v>
      </c>
      <c r="AE960" s="11" t="s">
        <v>191</v>
      </c>
      <c r="AF960" s="11" t="s">
        <v>215</v>
      </c>
      <c r="AG960" s="11">
        <f>INDEX(Bandwidth!$B$353:$T$369,MATCH(dataforsankey!$AH960,Bandwidth!$A$290:$A$306,0),MATCH(dataforsankey!$AF960,Bandwidth!$B$289:$T$289,0))</f>
        <v>0</v>
      </c>
      <c r="AH960" t="s">
        <v>575</v>
      </c>
    </row>
    <row r="961" spans="19:34" x14ac:dyDescent="0.2">
      <c r="S961" t="s">
        <v>99</v>
      </c>
      <c r="T961" s="11" t="s">
        <v>925</v>
      </c>
      <c r="U961" s="11">
        <f t="shared" si="63"/>
        <v>1.4136148419481676E-2</v>
      </c>
      <c r="V961" t="s">
        <v>19</v>
      </c>
      <c r="Y961" s="11" t="s">
        <v>191</v>
      </c>
      <c r="Z961" s="11" t="s">
        <v>216</v>
      </c>
      <c r="AA961" s="11">
        <f>INDEX(Bandwidth!$B$290:$T$306,MATCH(dataforsankey!$AB961,Bandwidth!$A$290:$A$306,0),MATCH(dataforsankey!$Z961,Bandwidth!$B$289:$T$289,0))</f>
        <v>0</v>
      </c>
      <c r="AB961" t="s">
        <v>32</v>
      </c>
      <c r="AE961" s="11" t="s">
        <v>191</v>
      </c>
      <c r="AF961" s="11" t="s">
        <v>216</v>
      </c>
      <c r="AG961" s="11">
        <f>INDEX(Bandwidth!$B$353:$T$369,MATCH(dataforsankey!$AH961,Bandwidth!$A$290:$A$306,0),MATCH(dataforsankey!$AF961,Bandwidth!$B$289:$T$289,0))</f>
        <v>0</v>
      </c>
      <c r="AH961" t="s">
        <v>575</v>
      </c>
    </row>
    <row r="962" spans="19:34" x14ac:dyDescent="0.2">
      <c r="S962" t="s">
        <v>100</v>
      </c>
      <c r="T962" s="11" t="s">
        <v>925</v>
      </c>
      <c r="U962" s="11">
        <f t="shared" si="63"/>
        <v>1.1253246844253472E-2</v>
      </c>
      <c r="V962" t="s">
        <v>19</v>
      </c>
      <c r="Y962" s="11" t="s">
        <v>191</v>
      </c>
      <c r="Z962" s="11" t="s">
        <v>217</v>
      </c>
      <c r="AA962" s="11">
        <f>INDEX(Bandwidth!$B$290:$T$306,MATCH(dataforsankey!$AB962,Bandwidth!$A$290:$A$306,0),MATCH(dataforsankey!$Z962,Bandwidth!$B$289:$T$289,0))</f>
        <v>0.48692051179698387</v>
      </c>
      <c r="AB962" t="s">
        <v>32</v>
      </c>
      <c r="AE962" s="11" t="s">
        <v>191</v>
      </c>
      <c r="AF962" s="11" t="s">
        <v>217</v>
      </c>
      <c r="AG962" s="11">
        <f>INDEX(Bandwidth!$B$353:$T$369,MATCH(dataforsankey!$AH962,Bandwidth!$A$290:$A$306,0),MATCH(dataforsankey!$AF962,Bandwidth!$B$289:$T$289,0))</f>
        <v>0.66091188976040527</v>
      </c>
      <c r="AH962" t="s">
        <v>575</v>
      </c>
    </row>
    <row r="963" spans="19:34" x14ac:dyDescent="0.2">
      <c r="S963" t="s">
        <v>39</v>
      </c>
      <c r="T963" s="11" t="s">
        <v>925</v>
      </c>
      <c r="U963" s="11">
        <f t="shared" si="63"/>
        <v>1.7977814004106703E-2</v>
      </c>
      <c r="V963" t="s">
        <v>19</v>
      </c>
      <c r="Y963" s="11" t="s">
        <v>191</v>
      </c>
      <c r="Z963" s="11" t="s">
        <v>218</v>
      </c>
      <c r="AA963" s="11">
        <f>INDEX(Bandwidth!$B$290:$T$306,MATCH(dataforsankey!$AB963,Bandwidth!$A$290:$A$306,0),MATCH(dataforsankey!$Z963,Bandwidth!$B$289:$T$289,0))</f>
        <v>0</v>
      </c>
      <c r="AB963" t="s">
        <v>32</v>
      </c>
      <c r="AE963" s="11" t="s">
        <v>191</v>
      </c>
      <c r="AF963" s="11" t="s">
        <v>218</v>
      </c>
      <c r="AG963" s="11">
        <f>INDEX(Bandwidth!$B$353:$T$369,MATCH(dataforsankey!$AH963,Bandwidth!$A$290:$A$306,0),MATCH(dataforsankey!$AF963,Bandwidth!$B$289:$T$289,0))</f>
        <v>0</v>
      </c>
      <c r="AH963" t="s">
        <v>575</v>
      </c>
    </row>
    <row r="964" spans="19:34" x14ac:dyDescent="0.2">
      <c r="S964" t="s">
        <v>68</v>
      </c>
      <c r="T964" s="11" t="s">
        <v>925</v>
      </c>
      <c r="U964" s="11">
        <f t="shared" si="63"/>
        <v>1.5972519489479167E-2</v>
      </c>
      <c r="V964" t="s">
        <v>19</v>
      </c>
      <c r="Y964" s="11" t="s">
        <v>191</v>
      </c>
      <c r="Z964" s="11" t="s">
        <v>219</v>
      </c>
      <c r="AA964" s="11">
        <f>INDEX(Bandwidth!$B$290:$T$306,MATCH(dataforsankey!$AB964,Bandwidth!$A$290:$A$306,0),MATCH(dataforsankey!$Z964,Bandwidth!$B$289:$T$289,0))</f>
        <v>0.69560073113854837</v>
      </c>
      <c r="AB964" t="s">
        <v>32</v>
      </c>
      <c r="AE964" s="11" t="s">
        <v>191</v>
      </c>
      <c r="AF964" s="11" t="s">
        <v>219</v>
      </c>
      <c r="AG964" s="11">
        <f>INDEX(Bandwidth!$B$353:$T$369,MATCH(dataforsankey!$AH964,Bandwidth!$A$290:$A$306,0),MATCH(dataforsankey!$AF964,Bandwidth!$B$289:$T$289,0))</f>
        <v>8.2613986220050659E-2</v>
      </c>
      <c r="AH964" t="s">
        <v>575</v>
      </c>
    </row>
    <row r="965" spans="19:34" x14ac:dyDescent="0.2">
      <c r="S965" t="s">
        <v>63</v>
      </c>
      <c r="T965" s="11" t="s">
        <v>925</v>
      </c>
      <c r="U965" s="11">
        <f t="shared" si="63"/>
        <v>1.4616186029203282E-2</v>
      </c>
      <c r="V965" t="s">
        <v>19</v>
      </c>
      <c r="Y965" s="11" t="s">
        <v>191</v>
      </c>
      <c r="Z965" s="11" t="s">
        <v>302</v>
      </c>
      <c r="AA965" s="11">
        <f>INDEX(Bandwidth!$B$290:$T$306,MATCH(dataforsankey!$AB965,Bandwidth!$A$290:$A$306,0),MATCH(dataforsankey!$Z965,Bandwidth!$B$289:$T$289,0))</f>
        <v>0</v>
      </c>
      <c r="AB965" t="s">
        <v>32</v>
      </c>
      <c r="AE965" s="11" t="s">
        <v>191</v>
      </c>
      <c r="AF965" s="11" t="s">
        <v>302</v>
      </c>
      <c r="AG965" s="11">
        <f>INDEX(Bandwidth!$B$353:$T$369,MATCH(dataforsankey!$AH965,Bandwidth!$A$290:$A$306,0),MATCH(dataforsankey!$AF965,Bandwidth!$B$289:$T$289,0))</f>
        <v>0</v>
      </c>
      <c r="AH965" t="s">
        <v>575</v>
      </c>
    </row>
    <row r="966" spans="19:34" x14ac:dyDescent="0.2">
      <c r="S966" t="s">
        <v>92</v>
      </c>
      <c r="T966" s="11" t="s">
        <v>925</v>
      </c>
      <c r="U966" s="11">
        <f t="shared" si="63"/>
        <v>1.2645923125642385E-2</v>
      </c>
      <c r="V966" t="s">
        <v>19</v>
      </c>
      <c r="Y966" s="11" t="s">
        <v>191</v>
      </c>
      <c r="Z966" s="11" t="s">
        <v>220</v>
      </c>
      <c r="AA966" s="11">
        <f>INDEX(Bandwidth!$B$290:$T$306,MATCH(dataforsankey!$AB966,Bandwidth!$A$290:$A$306,0),MATCH(dataforsankey!$Z966,Bandwidth!$B$289:$T$289,0))</f>
        <v>0.45214047524005641</v>
      </c>
      <c r="AB966" t="s">
        <v>32</v>
      </c>
      <c r="AE966" s="11" t="s">
        <v>191</v>
      </c>
      <c r="AF966" s="11" t="s">
        <v>220</v>
      </c>
      <c r="AG966" s="11">
        <f>INDEX(Bandwidth!$B$353:$T$369,MATCH(dataforsankey!$AH966,Bandwidth!$A$290:$A$306,0),MATCH(dataforsankey!$AF966,Bandwidth!$B$289:$T$289,0))</f>
        <v>0</v>
      </c>
      <c r="AH966" t="s">
        <v>575</v>
      </c>
    </row>
    <row r="967" spans="19:34" x14ac:dyDescent="0.2">
      <c r="S967" t="s">
        <v>103</v>
      </c>
      <c r="T967" s="11" t="s">
        <v>925</v>
      </c>
      <c r="U967" s="11">
        <f t="shared" si="63"/>
        <v>0</v>
      </c>
      <c r="V967" t="s">
        <v>19</v>
      </c>
      <c r="Y967" s="11" t="s">
        <v>191</v>
      </c>
      <c r="Z967" s="11" t="s">
        <v>221</v>
      </c>
      <c r="AA967" s="11">
        <f>INDEX(Bandwidth!$B$290:$T$306,MATCH(dataforsankey!$AB967,Bandwidth!$A$290:$A$306,0),MATCH(dataforsankey!$Z967,Bandwidth!$B$289:$T$289,0))</f>
        <v>0.45214047524005641</v>
      </c>
      <c r="AB967" t="s">
        <v>32</v>
      </c>
      <c r="AE967" s="11" t="s">
        <v>191</v>
      </c>
      <c r="AF967" s="11" t="s">
        <v>221</v>
      </c>
      <c r="AG967" s="11">
        <f>INDEX(Bandwidth!$B$353:$T$369,MATCH(dataforsankey!$AH967,Bandwidth!$A$290:$A$306,0),MATCH(dataforsankey!$AF967,Bandwidth!$B$289:$T$289,0))</f>
        <v>0</v>
      </c>
      <c r="AH967" t="s">
        <v>575</v>
      </c>
    </row>
    <row r="968" spans="19:34" x14ac:dyDescent="0.2">
      <c r="S968" t="s">
        <v>86</v>
      </c>
      <c r="T968" s="11" t="s">
        <v>925</v>
      </c>
      <c r="U968" s="11">
        <f t="shared" si="63"/>
        <v>1.2645923125642385E-2</v>
      </c>
      <c r="V968" t="s">
        <v>19</v>
      </c>
      <c r="Y968" s="11" t="s">
        <v>191</v>
      </c>
      <c r="Z968" s="11" t="s">
        <v>222</v>
      </c>
      <c r="AA968" s="11">
        <f>INDEX(Bandwidth!$B$290:$T$306,MATCH(dataforsankey!$AB968,Bandwidth!$A$290:$A$306,0),MATCH(dataforsankey!$Z968,Bandwidth!$B$289:$T$289,0))</f>
        <v>0</v>
      </c>
      <c r="AB968" t="s">
        <v>32</v>
      </c>
      <c r="AE968" s="11" t="s">
        <v>191</v>
      </c>
      <c r="AF968" s="11" t="s">
        <v>222</v>
      </c>
      <c r="AG968" s="11">
        <f>INDEX(Bandwidth!$B$353:$T$369,MATCH(dataforsankey!$AH968,Bandwidth!$A$290:$A$306,0),MATCH(dataforsankey!$AF968,Bandwidth!$B$289:$T$289,0))</f>
        <v>0</v>
      </c>
      <c r="AH968" t="s">
        <v>575</v>
      </c>
    </row>
    <row r="969" spans="19:34" x14ac:dyDescent="0.2">
      <c r="Y969" s="11" t="s">
        <v>191</v>
      </c>
      <c r="Z969" s="11" t="s">
        <v>223</v>
      </c>
      <c r="AA969" s="11">
        <f>INDEX(Bandwidth!$B$290:$T$306,MATCH(dataforsankey!$AB969,Bandwidth!$A$290:$A$306,0),MATCH(dataforsankey!$Z969,Bandwidth!$B$289:$T$289,0))</f>
        <v>0</v>
      </c>
      <c r="AB969" t="s">
        <v>32</v>
      </c>
      <c r="AE969" s="11" t="s">
        <v>191</v>
      </c>
      <c r="AF969" s="11" t="s">
        <v>223</v>
      </c>
      <c r="AG969" s="11">
        <f>INDEX(Bandwidth!$B$353:$T$369,MATCH(dataforsankey!$AH969,Bandwidth!$A$290:$A$306,0),MATCH(dataforsankey!$AF969,Bandwidth!$B$289:$T$289,0))</f>
        <v>8.2613986220050659E-2</v>
      </c>
      <c r="AH969" t="s">
        <v>575</v>
      </c>
    </row>
    <row r="970" spans="19:34" x14ac:dyDescent="0.2">
      <c r="Y970" s="11" t="s">
        <v>191</v>
      </c>
      <c r="Z970" s="11" t="s">
        <v>224</v>
      </c>
      <c r="AA970" s="11">
        <f>INDEX(Bandwidth!$B$290:$T$306,MATCH(dataforsankey!$AB970,Bandwidth!$A$290:$A$306,0),MATCH(dataforsankey!$Z970,Bandwidth!$B$289:$T$289,0))</f>
        <v>0</v>
      </c>
      <c r="AB970" t="s">
        <v>32</v>
      </c>
      <c r="AE970" s="11" t="s">
        <v>191</v>
      </c>
      <c r="AF970" s="11" t="s">
        <v>224</v>
      </c>
      <c r="AG970" s="11">
        <f>INDEX(Bandwidth!$B$353:$T$369,MATCH(dataforsankey!$AH970,Bandwidth!$A$290:$A$306,0),MATCH(dataforsankey!$AF970,Bandwidth!$B$289:$T$289,0))</f>
        <v>0</v>
      </c>
      <c r="AH970" t="s">
        <v>575</v>
      </c>
    </row>
    <row r="971" spans="19:34" x14ac:dyDescent="0.2">
      <c r="Y971" s="11" t="s">
        <v>191</v>
      </c>
      <c r="Z971" s="11" t="s">
        <v>225</v>
      </c>
      <c r="AA971" s="11">
        <f>INDEX(Bandwidth!$B$290:$T$306,MATCH(dataforsankey!$AB971,Bandwidth!$A$290:$A$306,0),MATCH(dataforsankey!$Z971,Bandwidth!$B$289:$T$289,0))</f>
        <v>0</v>
      </c>
      <c r="AB971" t="s">
        <v>32</v>
      </c>
      <c r="AE971" s="11" t="s">
        <v>191</v>
      </c>
      <c r="AF971" s="11" t="s">
        <v>225</v>
      </c>
      <c r="AG971" s="11">
        <f>INDEX(Bandwidth!$B$353:$T$369,MATCH(dataforsankey!$AH971,Bandwidth!$A$290:$A$306,0),MATCH(dataforsankey!$AF971,Bandwidth!$B$289:$T$289,0))</f>
        <v>0</v>
      </c>
      <c r="AH971" t="s">
        <v>575</v>
      </c>
    </row>
    <row r="972" spans="19:34" x14ac:dyDescent="0.2">
      <c r="Y972" s="11" t="s">
        <v>191</v>
      </c>
      <c r="Z972" s="11" t="s">
        <v>226</v>
      </c>
      <c r="AA972" s="11">
        <f>INDEX(Bandwidth!$B$290:$T$306,MATCH(dataforsankey!$AB972,Bandwidth!$A$290:$A$306,0),MATCH(dataforsankey!$Z972,Bandwidth!$B$289:$T$289,0))</f>
        <v>0</v>
      </c>
      <c r="AB972" t="s">
        <v>32</v>
      </c>
      <c r="AE972" s="11" t="s">
        <v>191</v>
      </c>
      <c r="AF972" s="11" t="s">
        <v>226</v>
      </c>
      <c r="AG972" s="11">
        <f>INDEX(Bandwidth!$B$353:$T$369,MATCH(dataforsankey!$AH972,Bandwidth!$A$290:$A$306,0),MATCH(dataforsankey!$AF972,Bandwidth!$B$289:$T$289,0))</f>
        <v>0</v>
      </c>
      <c r="AH972" t="s">
        <v>575</v>
      </c>
    </row>
    <row r="973" spans="19:34" x14ac:dyDescent="0.2">
      <c r="Y973" s="11" t="s">
        <v>191</v>
      </c>
      <c r="Z973" s="11" t="s">
        <v>279</v>
      </c>
      <c r="AA973" s="11">
        <f>INDEX(Bandwidth!$B$290:$T$306,MATCH(dataforsankey!$AB973,Bandwidth!$A$290:$A$306,0),MATCH(dataforsankey!$Z973,Bandwidth!$B$289:$T$289,0))</f>
        <v>0</v>
      </c>
      <c r="AB973" t="s">
        <v>32</v>
      </c>
      <c r="AE973" s="11" t="s">
        <v>191</v>
      </c>
      <c r="AF973" s="11" t="s">
        <v>279</v>
      </c>
      <c r="AG973" s="11">
        <f>INDEX(Bandwidth!$B$353:$T$369,MATCH(dataforsankey!$AH973,Bandwidth!$A$290:$A$306,0),MATCH(dataforsankey!$AF973,Bandwidth!$B$289:$T$289,0))</f>
        <v>0</v>
      </c>
      <c r="AH973" t="s">
        <v>575</v>
      </c>
    </row>
    <row r="974" spans="19:34" x14ac:dyDescent="0.2">
      <c r="Y974" t="s">
        <v>330</v>
      </c>
      <c r="Z974" s="11" t="s">
        <v>6</v>
      </c>
      <c r="AA974" s="11">
        <f>INDEX(Bandwidth!$B$290:$T$306,MATCH(dataforsankey!$AB974,Bandwidth!$A$290:$A$306,0),MATCH(dataforsankey!$Z974,Bandwidth!$B$289:$T$289,0))</f>
        <v>0</v>
      </c>
      <c r="AB974" t="s">
        <v>105</v>
      </c>
      <c r="AE974" s="180" t="s">
        <v>335</v>
      </c>
      <c r="AF974" s="179" t="s">
        <v>191</v>
      </c>
      <c r="AG974" s="179">
        <f>INDEX('In-Use Stocks'!$O$81:$O$97,MATCH(dataforsankey!$AH974,'In-Use Stocks'!$L$81:$L$97,0),1)</f>
        <v>2.3115025971221326</v>
      </c>
      <c r="AH974" s="180" t="s">
        <v>82</v>
      </c>
    </row>
    <row r="975" spans="19:34" x14ac:dyDescent="0.2">
      <c r="Y975" s="177" t="s">
        <v>330</v>
      </c>
      <c r="Z975" s="178" t="s">
        <v>191</v>
      </c>
      <c r="AA975" s="178">
        <f>INDEX(Bandwidth!$B$290:$T$306,MATCH(dataforsankey!$AB975,Bandwidth!$A$290:$A$306,0),MATCH(dataforsankey!$Z975,Bandwidth!$B$289:$T$289,0))-INDEX($AG$974:$AG$990,MATCH($AB975,$AH$974:$AH$990,0),1)</f>
        <v>0.15904442206003677</v>
      </c>
      <c r="AB975" s="177" t="s">
        <v>105</v>
      </c>
      <c r="AE975" s="180" t="s">
        <v>335</v>
      </c>
      <c r="AF975" s="179" t="s">
        <v>191</v>
      </c>
      <c r="AG975" s="179">
        <f>INDEX('In-Use Stocks'!$O$81:$O$97,MATCH(dataforsankey!$AH975,'In-Use Stocks'!$L$81:$L$97,0),1)</f>
        <v>0</v>
      </c>
      <c r="AH975" s="180" t="s">
        <v>127</v>
      </c>
    </row>
    <row r="976" spans="19:34" x14ac:dyDescent="0.2">
      <c r="Y976" s="11" t="s">
        <v>191</v>
      </c>
      <c r="Z976" s="11" t="s">
        <v>215</v>
      </c>
      <c r="AA976" s="11">
        <f>INDEX(Bandwidth!$B$290:$T$306,MATCH(dataforsankey!$AB976,Bandwidth!$A$290:$A$306,0),MATCH(dataforsankey!$Z976,Bandwidth!$B$289:$T$289,0))</f>
        <v>0</v>
      </c>
      <c r="AB976" t="s">
        <v>105</v>
      </c>
      <c r="AE976" s="180" t="s">
        <v>335</v>
      </c>
      <c r="AF976" s="179" t="s">
        <v>191</v>
      </c>
      <c r="AG976" s="179">
        <f>INDEX('In-Use Stocks'!$O$81:$O$97,MATCH(dataforsankey!$AH976,'In-Use Stocks'!$L$81:$L$97,0),1)</f>
        <v>0.24656308762875945</v>
      </c>
      <c r="AH976" s="180" t="s">
        <v>8</v>
      </c>
    </row>
    <row r="977" spans="25:34" x14ac:dyDescent="0.2">
      <c r="Y977" s="11" t="s">
        <v>191</v>
      </c>
      <c r="Z977" s="11" t="s">
        <v>216</v>
      </c>
      <c r="AA977" s="11">
        <f>INDEX(Bandwidth!$B$290:$T$306,MATCH(dataforsankey!$AB977,Bandwidth!$A$290:$A$306,0),MATCH(dataforsankey!$Z977,Bandwidth!$B$289:$T$289,0))</f>
        <v>0</v>
      </c>
      <c r="AB977" t="s">
        <v>105</v>
      </c>
      <c r="AE977" s="180" t="s">
        <v>335</v>
      </c>
      <c r="AF977" s="179" t="s">
        <v>191</v>
      </c>
      <c r="AG977" s="179">
        <f>INDEX('In-Use Stocks'!$O$81:$O$97,MATCH(dataforsankey!$AH977,'In-Use Stocks'!$L$81:$L$97,0),1)</f>
        <v>0.21394776948275829</v>
      </c>
      <c r="AH977" s="180" t="s">
        <v>19</v>
      </c>
    </row>
    <row r="978" spans="25:34" x14ac:dyDescent="0.2">
      <c r="Y978" s="11" t="s">
        <v>191</v>
      </c>
      <c r="Z978" s="11" t="s">
        <v>217</v>
      </c>
      <c r="AA978" s="11">
        <f>INDEX(Bandwidth!$B$290:$T$306,MATCH(dataforsankey!$AB978,Bandwidth!$A$290:$A$306,0),MATCH(dataforsankey!$Z978,Bandwidth!$B$289:$T$289,0))</f>
        <v>0</v>
      </c>
      <c r="AB978" t="s">
        <v>105</v>
      </c>
      <c r="AE978" s="180" t="s">
        <v>335</v>
      </c>
      <c r="AF978" s="179" t="s">
        <v>191</v>
      </c>
      <c r="AG978" s="179">
        <f>INDEX('In-Use Stocks'!$O$81:$O$97,MATCH(dataforsankey!$AH978,'In-Use Stocks'!$L$81:$L$97,0),1)</f>
        <v>0.29919555911991708</v>
      </c>
      <c r="AH978" s="180" t="s">
        <v>1</v>
      </c>
    </row>
    <row r="979" spans="25:34" x14ac:dyDescent="0.2">
      <c r="Y979" s="11" t="s">
        <v>191</v>
      </c>
      <c r="Z979" s="11" t="s">
        <v>218</v>
      </c>
      <c r="AA979" s="11">
        <f>INDEX(Bandwidth!$B$290:$T$306,MATCH(dataforsankey!$AB979,Bandwidth!$A$290:$A$306,0),MATCH(dataforsankey!$Z979,Bandwidth!$B$289:$T$289,0))</f>
        <v>0</v>
      </c>
      <c r="AB979" t="s">
        <v>105</v>
      </c>
      <c r="AE979" s="180" t="s">
        <v>335</v>
      </c>
      <c r="AF979" s="179" t="s">
        <v>191</v>
      </c>
      <c r="AG979" s="179">
        <f>INDEX('In-Use Stocks'!$O$81:$O$97,MATCH(dataforsankey!$AH979,'In-Use Stocks'!$L$81:$L$97,0),1)</f>
        <v>0.23014749972219758</v>
      </c>
      <c r="AH979" s="180" t="s">
        <v>10</v>
      </c>
    </row>
    <row r="980" spans="25:34" x14ac:dyDescent="0.2">
      <c r="Y980" s="11" t="s">
        <v>191</v>
      </c>
      <c r="Z980" s="11" t="s">
        <v>219</v>
      </c>
      <c r="AA980" s="11">
        <f>INDEX(Bandwidth!$B$290:$T$306,MATCH(dataforsankey!$AB980,Bandwidth!$A$290:$A$306,0),MATCH(dataforsankey!$Z980,Bandwidth!$B$289:$T$289,0))</f>
        <v>0</v>
      </c>
      <c r="AB980" t="s">
        <v>105</v>
      </c>
      <c r="AE980" s="180" t="s">
        <v>335</v>
      </c>
      <c r="AF980" s="179" t="s">
        <v>191</v>
      </c>
      <c r="AG980" s="179">
        <f>INDEX('In-Use Stocks'!$O$81:$O$97,MATCH(dataforsankey!$AH980,'In-Use Stocks'!$L$81:$L$97,0),1)</f>
        <v>0.21470615201667198</v>
      </c>
      <c r="AH980" s="180" t="s">
        <v>11</v>
      </c>
    </row>
    <row r="981" spans="25:34" x14ac:dyDescent="0.2">
      <c r="Y981" s="11" t="s">
        <v>191</v>
      </c>
      <c r="Z981" s="11" t="s">
        <v>302</v>
      </c>
      <c r="AA981" s="11">
        <f>INDEX(Bandwidth!$B$290:$T$306,MATCH(dataforsankey!$AB981,Bandwidth!$A$290:$A$306,0),MATCH(dataforsankey!$Z981,Bandwidth!$B$289:$T$289,0))</f>
        <v>0</v>
      </c>
      <c r="AB981" t="s">
        <v>105</v>
      </c>
      <c r="AE981" s="180" t="s">
        <v>335</v>
      </c>
      <c r="AF981" s="179" t="s">
        <v>191</v>
      </c>
      <c r="AG981" s="179">
        <f>INDEX('In-Use Stocks'!$O$81:$O$97,MATCH(dataforsankey!$AH981,'In-Use Stocks'!$L$81:$L$97,0),1)</f>
        <v>0.22047927593266414</v>
      </c>
      <c r="AH981" s="180" t="s">
        <v>25</v>
      </c>
    </row>
    <row r="982" spans="25:34" x14ac:dyDescent="0.2">
      <c r="Y982" s="11" t="s">
        <v>191</v>
      </c>
      <c r="Z982" s="11" t="s">
        <v>220</v>
      </c>
      <c r="AA982" s="11">
        <f>INDEX(Bandwidth!$B$290:$T$306,MATCH(dataforsankey!$AB982,Bandwidth!$A$290:$A$306,0),MATCH(dataforsankey!$Z982,Bandwidth!$B$289:$T$289,0))</f>
        <v>0</v>
      </c>
      <c r="AB982" t="s">
        <v>105</v>
      </c>
      <c r="AE982" s="180" t="s">
        <v>335</v>
      </c>
      <c r="AF982" s="179" t="s">
        <v>191</v>
      </c>
      <c r="AG982" s="179">
        <f>INDEX('In-Use Stocks'!$O$81:$O$97,MATCH(dataforsankey!$AH982,'In-Use Stocks'!$L$81:$L$97,0),1)</f>
        <v>0.2256059786741765</v>
      </c>
      <c r="AH982" s="180" t="s">
        <v>7</v>
      </c>
    </row>
    <row r="983" spans="25:34" x14ac:dyDescent="0.2">
      <c r="Y983" s="11" t="s">
        <v>191</v>
      </c>
      <c r="Z983" s="11" t="s">
        <v>221</v>
      </c>
      <c r="AA983" s="11">
        <f>INDEX(Bandwidth!$B$290:$T$306,MATCH(dataforsankey!$AB983,Bandwidth!$A$290:$A$306,0),MATCH(dataforsankey!$Z983,Bandwidth!$B$289:$T$289,0))</f>
        <v>0</v>
      </c>
      <c r="AB983" t="s">
        <v>105</v>
      </c>
      <c r="AE983" s="180" t="s">
        <v>335</v>
      </c>
      <c r="AF983" s="179" t="s">
        <v>191</v>
      </c>
      <c r="AG983" s="179">
        <f>INDEX('In-Use Stocks'!$O$81:$O$97,MATCH(dataforsankey!$AH983,'In-Use Stocks'!$L$81:$L$97,0),1)</f>
        <v>0</v>
      </c>
      <c r="AH983" s="180" t="s">
        <v>2</v>
      </c>
    </row>
    <row r="984" spans="25:34" x14ac:dyDescent="0.2">
      <c r="Y984" s="11" t="s">
        <v>191</v>
      </c>
      <c r="Z984" s="11" t="s">
        <v>222</v>
      </c>
      <c r="AA984" s="11">
        <f>INDEX(Bandwidth!$B$290:$T$306,MATCH(dataforsankey!$AB984,Bandwidth!$A$290:$A$306,0),MATCH(dataforsankey!$Z984,Bandwidth!$B$289:$T$289,0))</f>
        <v>0.168655359048904</v>
      </c>
      <c r="AB984" t="s">
        <v>105</v>
      </c>
      <c r="AE984" s="180" t="s">
        <v>335</v>
      </c>
      <c r="AF984" s="179" t="s">
        <v>191</v>
      </c>
      <c r="AG984" s="179">
        <f>INDEX('In-Use Stocks'!$O$81:$O$97,MATCH(dataforsankey!$AH984,'In-Use Stocks'!$L$81:$L$97,0),1)</f>
        <v>0.17165519030958951</v>
      </c>
      <c r="AH984" s="180" t="s">
        <v>30</v>
      </c>
    </row>
    <row r="985" spans="25:34" x14ac:dyDescent="0.2">
      <c r="Y985" s="11" t="s">
        <v>191</v>
      </c>
      <c r="Z985" s="11" t="s">
        <v>223</v>
      </c>
      <c r="AA985" s="11">
        <f>INDEX(Bandwidth!$B$290:$T$306,MATCH(dataforsankey!$AB985,Bandwidth!$A$290:$A$306,0),MATCH(dataforsankey!$Z985,Bandwidth!$B$289:$T$289,0))</f>
        <v>0</v>
      </c>
      <c r="AB985" t="s">
        <v>105</v>
      </c>
      <c r="AE985" s="180" t="s">
        <v>335</v>
      </c>
      <c r="AF985" s="179" t="s">
        <v>191</v>
      </c>
      <c r="AG985" s="179">
        <f>INDEX('In-Use Stocks'!$O$81:$O$97,MATCH(dataforsankey!$AH985,'In-Use Stocks'!$L$81:$L$97,0),1)</f>
        <v>3.3151979060661384E-2</v>
      </c>
      <c r="AH985" s="180" t="s">
        <v>31</v>
      </c>
    </row>
    <row r="986" spans="25:34" x14ac:dyDescent="0.2">
      <c r="Y986" s="11" t="s">
        <v>191</v>
      </c>
      <c r="Z986" s="11" t="s">
        <v>224</v>
      </c>
      <c r="AA986" s="11">
        <f>INDEX(Bandwidth!$B$290:$T$306,MATCH(dataforsankey!$AB986,Bandwidth!$A$290:$A$306,0),MATCH(dataforsankey!$Z986,Bandwidth!$B$289:$T$289,0))</f>
        <v>0</v>
      </c>
      <c r="AB986" t="s">
        <v>105</v>
      </c>
      <c r="AE986" s="180" t="s">
        <v>335</v>
      </c>
      <c r="AF986" s="179" t="s">
        <v>191</v>
      </c>
      <c r="AG986" s="179">
        <f>INDEX('In-Use Stocks'!$O$81:$O$97,MATCH(dataforsankey!$AH986,'In-Use Stocks'!$L$81:$L$97,0),1)</f>
        <v>0</v>
      </c>
      <c r="AH986" s="180" t="s">
        <v>122</v>
      </c>
    </row>
    <row r="987" spans="25:34" x14ac:dyDescent="0.2">
      <c r="Y987" s="11" t="s">
        <v>191</v>
      </c>
      <c r="Z987" s="11" t="s">
        <v>225</v>
      </c>
      <c r="AA987" s="11">
        <f>INDEX(Bandwidth!$B$290:$T$306,MATCH(dataforsankey!$AB987,Bandwidth!$A$290:$A$306,0),MATCH(dataforsankey!$Z987,Bandwidth!$B$289:$T$289,0))</f>
        <v>0</v>
      </c>
      <c r="AB987" t="s">
        <v>105</v>
      </c>
      <c r="AE987" s="180" t="s">
        <v>335</v>
      </c>
      <c r="AF987" s="179" t="s">
        <v>191</v>
      </c>
      <c r="AG987" s="179">
        <f>INDEX('In-Use Stocks'!$O$81:$O$97,MATCH(dataforsankey!$AH987,'In-Use Stocks'!$L$81:$L$97,0),1)</f>
        <v>0.81944083760395414</v>
      </c>
      <c r="AH987" s="180" t="s">
        <v>32</v>
      </c>
    </row>
    <row r="988" spans="25:34" x14ac:dyDescent="0.2">
      <c r="Y988" s="11" t="s">
        <v>191</v>
      </c>
      <c r="Z988" s="11" t="s">
        <v>226</v>
      </c>
      <c r="AA988" s="11">
        <f>INDEX(Bandwidth!$B$290:$T$306,MATCH(dataforsankey!$AB988,Bandwidth!$A$290:$A$306,0),MATCH(dataforsankey!$Z988,Bandwidth!$B$289:$T$289,0))</f>
        <v>0</v>
      </c>
      <c r="AB988" t="s">
        <v>105</v>
      </c>
      <c r="AE988" s="180" t="s">
        <v>335</v>
      </c>
      <c r="AF988" s="179" t="s">
        <v>191</v>
      </c>
      <c r="AG988" s="179">
        <f>INDEX('In-Use Stocks'!$O$81:$O$97,MATCH(dataforsankey!$AH988,'In-Use Stocks'!$L$81:$L$97,0),1)</f>
        <v>0.72861536240787916</v>
      </c>
      <c r="AH988" s="180" t="s">
        <v>105</v>
      </c>
    </row>
    <row r="989" spans="25:34" x14ac:dyDescent="0.2">
      <c r="Y989" s="11" t="s">
        <v>191</v>
      </c>
      <c r="Z989" s="11" t="s">
        <v>279</v>
      </c>
      <c r="AA989" s="11">
        <f>INDEX(Bandwidth!$B$290:$T$306,MATCH(dataforsankey!$AB989,Bandwidth!$A$290:$A$306,0),MATCH(dataforsankey!$Z989,Bandwidth!$B$289:$T$289,0))</f>
        <v>0.71900442541901188</v>
      </c>
      <c r="AB989" t="s">
        <v>105</v>
      </c>
      <c r="AE989" s="180" t="s">
        <v>335</v>
      </c>
      <c r="AF989" s="179" t="s">
        <v>191</v>
      </c>
      <c r="AG989" s="179">
        <f>INDEX('In-Use Stocks'!$O$81:$O$97,MATCH(dataforsankey!$AH989,'In-Use Stocks'!$L$81:$L$97,0),1)</f>
        <v>0</v>
      </c>
      <c r="AH989" s="180" t="s">
        <v>576</v>
      </c>
    </row>
    <row r="990" spans="25:34" x14ac:dyDescent="0.2">
      <c r="Y990" t="s">
        <v>330</v>
      </c>
      <c r="Z990" s="11" t="s">
        <v>6</v>
      </c>
      <c r="AA990" s="11">
        <f>INDEX(Bandwidth!$B$290:$T$306,MATCH(dataforsankey!$AB990,Bandwidth!$A$290:$A$306,0),MATCH(dataforsankey!$Z990,Bandwidth!$B$289:$T$289,0))</f>
        <v>0</v>
      </c>
      <c r="AB990" t="s">
        <v>576</v>
      </c>
      <c r="AE990" s="180" t="s">
        <v>335</v>
      </c>
      <c r="AF990" s="179" t="s">
        <v>191</v>
      </c>
      <c r="AG990" s="179">
        <f>INDEX('In-Use Stocks'!$O$81:$O$97,MATCH(dataforsankey!$AH990,'In-Use Stocks'!$L$81:$L$97,0),1)</f>
        <v>0</v>
      </c>
      <c r="AH990" s="180" t="s">
        <v>575</v>
      </c>
    </row>
    <row r="991" spans="25:34" x14ac:dyDescent="0.2">
      <c r="Y991" s="177" t="s">
        <v>330</v>
      </c>
      <c r="Z991" s="178" t="s">
        <v>191</v>
      </c>
      <c r="AA991" s="178">
        <f>INDEX(Bandwidth!$B$290:$T$306,MATCH(dataforsankey!$AB991,Bandwidth!$A$290:$A$306,0),MATCH(dataforsankey!$Z991,Bandwidth!$B$289:$T$289,0))-INDEX($AG$974:$AG$990,MATCH($AB991,$AH$974:$AH$990,0),1)</f>
        <v>1.7071210407159758</v>
      </c>
      <c r="AB991" s="177" t="s">
        <v>576</v>
      </c>
      <c r="AE991" s="180" t="s">
        <v>330</v>
      </c>
      <c r="AF991" s="179" t="s">
        <v>191</v>
      </c>
      <c r="AG991" s="179">
        <f>INDEX(Bandwidth!$T$353:$T$369,MATCH(dataforsankey!$AH991,Bandwidth!$A$353:$A$369,0),1)-INDEX($AG$974:$AG$990,MATCH($AH991,$AH$974:$AH$990,0),1)</f>
        <v>1.6898750278914765</v>
      </c>
      <c r="AH991" s="180" t="s">
        <v>8</v>
      </c>
    </row>
    <row r="992" spans="25:34" x14ac:dyDescent="0.2">
      <c r="Y992" s="11" t="s">
        <v>191</v>
      </c>
      <c r="Z992" s="11" t="s">
        <v>215</v>
      </c>
      <c r="AA992" s="11">
        <f>INDEX(Bandwidth!$B$290:$T$306,MATCH(dataforsankey!$AB992,Bandwidth!$A$290:$A$306,0),MATCH(dataforsankey!$Z992,Bandwidth!$B$289:$T$289,0))</f>
        <v>0</v>
      </c>
      <c r="AB992" t="s">
        <v>576</v>
      </c>
      <c r="AE992" s="180" t="s">
        <v>330</v>
      </c>
      <c r="AF992" s="179" t="s">
        <v>191</v>
      </c>
      <c r="AG992" s="179">
        <f>INDEX(Bandwidth!$T$353:$T$369,MATCH(dataforsankey!$AH992,Bandwidth!$A$353:$A$369,0),1)-INDEX($AG$974:$AG$990,MATCH($AH992,$AH$974:$AH$990,0),1)</f>
        <v>1.466338681913165</v>
      </c>
      <c r="AH992" s="180" t="s">
        <v>19</v>
      </c>
    </row>
    <row r="993" spans="25:34" x14ac:dyDescent="0.2">
      <c r="Y993" s="11" t="s">
        <v>191</v>
      </c>
      <c r="Z993" s="11" t="s">
        <v>216</v>
      </c>
      <c r="AA993" s="11">
        <f>INDEX(Bandwidth!$B$290:$T$306,MATCH(dataforsankey!$AB993,Bandwidth!$A$290:$A$306,0),MATCH(dataforsankey!$Z993,Bandwidth!$B$289:$T$289,0))</f>
        <v>0</v>
      </c>
      <c r="AB993" t="s">
        <v>576</v>
      </c>
      <c r="AE993" s="179" t="s">
        <v>191</v>
      </c>
      <c r="AF993" s="180" t="s">
        <v>215</v>
      </c>
      <c r="AG993" s="179">
        <f>INDEX(Bandwidth!$B$353:$T$369,MATCH(dataforsankey!$AH993,Bandwidth!$A$290:$A$306,0),MATCH(dataforsankey!$AF993,Bandwidth!$B$289:$T$289,0))</f>
        <v>1.9364381155202359</v>
      </c>
      <c r="AH993" s="180" t="s">
        <v>8</v>
      </c>
    </row>
    <row r="994" spans="25:34" x14ac:dyDescent="0.2">
      <c r="Y994" s="11" t="s">
        <v>191</v>
      </c>
      <c r="Z994" s="11" t="s">
        <v>217</v>
      </c>
      <c r="AA994" s="11">
        <f>INDEX(Bandwidth!$B$290:$T$306,MATCH(dataforsankey!$AB994,Bandwidth!$A$290:$A$306,0),MATCH(dataforsankey!$Z994,Bandwidth!$B$289:$T$289,0))</f>
        <v>0</v>
      </c>
      <c r="AB994" t="s">
        <v>576</v>
      </c>
      <c r="AE994" s="179" t="s">
        <v>191</v>
      </c>
      <c r="AF994" s="180" t="s">
        <v>216</v>
      </c>
      <c r="AG994" s="179">
        <f>INDEX(Bandwidth!$B$353:$T$369,MATCH(dataforsankey!$AH994,Bandwidth!$A$290:$A$306,0),MATCH(dataforsankey!$AF994,Bandwidth!$B$289:$T$289,0))</f>
        <v>0</v>
      </c>
      <c r="AH994" s="180" t="s">
        <v>8</v>
      </c>
    </row>
    <row r="995" spans="25:34" x14ac:dyDescent="0.2">
      <c r="Y995" s="11" t="s">
        <v>191</v>
      </c>
      <c r="Z995" s="11" t="s">
        <v>218</v>
      </c>
      <c r="AA995" s="11">
        <f>INDEX(Bandwidth!$B$290:$T$306,MATCH(dataforsankey!$AB995,Bandwidth!$A$290:$A$306,0),MATCH(dataforsankey!$Z995,Bandwidth!$B$289:$T$289,0))</f>
        <v>0</v>
      </c>
      <c r="AB995" t="s">
        <v>576</v>
      </c>
      <c r="AE995" s="179" t="s">
        <v>191</v>
      </c>
      <c r="AF995" s="180" t="s">
        <v>217</v>
      </c>
      <c r="AG995" s="179">
        <f>INDEX(Bandwidth!$B$353:$T$369,MATCH(dataforsankey!$AH995,Bandwidth!$A$290:$A$306,0),MATCH(dataforsankey!$AF995,Bandwidth!$B$289:$T$289,0))</f>
        <v>0</v>
      </c>
      <c r="AH995" s="180" t="s">
        <v>8</v>
      </c>
    </row>
    <row r="996" spans="25:34" x14ac:dyDescent="0.2">
      <c r="Y996" s="11" t="s">
        <v>191</v>
      </c>
      <c r="Z996" s="11" t="s">
        <v>219</v>
      </c>
      <c r="AA996" s="11">
        <f>INDEX(Bandwidth!$B$290:$T$306,MATCH(dataforsankey!$AB996,Bandwidth!$A$290:$A$306,0),MATCH(dataforsankey!$Z996,Bandwidth!$B$289:$T$289,0))</f>
        <v>0</v>
      </c>
      <c r="AB996" t="s">
        <v>576</v>
      </c>
      <c r="AE996" s="179" t="s">
        <v>191</v>
      </c>
      <c r="AF996" s="180" t="s">
        <v>218</v>
      </c>
      <c r="AG996" s="179">
        <f>INDEX(Bandwidth!$B$353:$T$369,MATCH(dataforsankey!$AH996,Bandwidth!$A$290:$A$306,0),MATCH(dataforsankey!$AF996,Bandwidth!$B$289:$T$289,0))</f>
        <v>0</v>
      </c>
      <c r="AH996" s="180" t="s">
        <v>8</v>
      </c>
    </row>
    <row r="997" spans="25:34" x14ac:dyDescent="0.2">
      <c r="Y997" s="11" t="s">
        <v>191</v>
      </c>
      <c r="Z997" s="11" t="s">
        <v>302</v>
      </c>
      <c r="AA997" s="11">
        <f>INDEX(Bandwidth!$B$290:$T$306,MATCH(dataforsankey!$AB997,Bandwidth!$A$290:$A$306,0),MATCH(dataforsankey!$Z997,Bandwidth!$B$289:$T$289,0))</f>
        <v>0</v>
      </c>
      <c r="AB997" t="s">
        <v>576</v>
      </c>
      <c r="AE997" s="179" t="s">
        <v>191</v>
      </c>
      <c r="AF997" s="180" t="s">
        <v>219</v>
      </c>
      <c r="AG997" s="179">
        <f>INDEX(Bandwidth!$B$353:$T$369,MATCH(dataforsankey!$AH997,Bandwidth!$A$290:$A$306,0),MATCH(dataforsankey!$AF997,Bandwidth!$B$289:$T$289,0))</f>
        <v>0</v>
      </c>
      <c r="AH997" s="180" t="s">
        <v>8</v>
      </c>
    </row>
    <row r="998" spans="25:34" x14ac:dyDescent="0.2">
      <c r="Y998" s="11" t="s">
        <v>191</v>
      </c>
      <c r="Z998" s="11" t="s">
        <v>220</v>
      </c>
      <c r="AA998" s="11">
        <f>INDEX(Bandwidth!$B$290:$T$306,MATCH(dataforsankey!$AB998,Bandwidth!$A$290:$A$306,0),MATCH(dataforsankey!$Z998,Bandwidth!$B$289:$T$289,0))</f>
        <v>0</v>
      </c>
      <c r="AB998" t="s">
        <v>576</v>
      </c>
      <c r="AE998" s="179" t="s">
        <v>191</v>
      </c>
      <c r="AF998" s="180" t="s">
        <v>302</v>
      </c>
      <c r="AG998" s="179">
        <f>INDEX(Bandwidth!$B$353:$T$369,MATCH(dataforsankey!$AH998,Bandwidth!$A$290:$A$306,0),MATCH(dataforsankey!$AF998,Bandwidth!$B$289:$T$289,0))</f>
        <v>0</v>
      </c>
      <c r="AH998" s="180" t="s">
        <v>8</v>
      </c>
    </row>
    <row r="999" spans="25:34" x14ac:dyDescent="0.2">
      <c r="Y999" s="11" t="s">
        <v>191</v>
      </c>
      <c r="Z999" s="11" t="s">
        <v>221</v>
      </c>
      <c r="AA999" s="11">
        <f>INDEX(Bandwidth!$B$290:$T$306,MATCH(dataforsankey!$AB999,Bandwidth!$A$290:$A$306,0),MATCH(dataforsankey!$Z999,Bandwidth!$B$289:$T$289,0))</f>
        <v>0</v>
      </c>
      <c r="AB999" t="s">
        <v>576</v>
      </c>
      <c r="AE999" s="179" t="s">
        <v>191</v>
      </c>
      <c r="AF999" s="180" t="s">
        <v>220</v>
      </c>
      <c r="AG999" s="179">
        <f>INDEX(Bandwidth!$B$353:$T$369,MATCH(dataforsankey!$AH999,Bandwidth!$A$290:$A$306,0),MATCH(dataforsankey!$AF999,Bandwidth!$B$289:$T$289,0))</f>
        <v>0</v>
      </c>
      <c r="AH999" s="180" t="s">
        <v>8</v>
      </c>
    </row>
    <row r="1000" spans="25:34" x14ac:dyDescent="0.2">
      <c r="Y1000" s="11" t="s">
        <v>191</v>
      </c>
      <c r="Z1000" s="11" t="s">
        <v>222</v>
      </c>
      <c r="AA1000" s="11">
        <f>INDEX(Bandwidth!$B$290:$T$306,MATCH(dataforsankey!$AB1000,Bandwidth!$A$290:$A$306,0),MATCH(dataforsankey!$Z1000,Bandwidth!$B$289:$T$289,0))</f>
        <v>1.7071210407159758</v>
      </c>
      <c r="AB1000" t="s">
        <v>576</v>
      </c>
      <c r="AE1000" s="179" t="s">
        <v>191</v>
      </c>
      <c r="AF1000" s="180" t="s">
        <v>221</v>
      </c>
      <c r="AG1000" s="179">
        <f>INDEX(Bandwidth!$B$353:$T$369,MATCH(dataforsankey!$AH1000,Bandwidth!$A$290:$A$306,0),MATCH(dataforsankey!$AF1000,Bandwidth!$B$289:$T$289,0))</f>
        <v>0</v>
      </c>
      <c r="AH1000" s="180" t="s">
        <v>8</v>
      </c>
    </row>
    <row r="1001" spans="25:34" x14ac:dyDescent="0.2">
      <c r="Y1001" s="11" t="s">
        <v>191</v>
      </c>
      <c r="Z1001" s="11" t="s">
        <v>223</v>
      </c>
      <c r="AA1001" s="11">
        <f>INDEX(Bandwidth!$B$290:$T$306,MATCH(dataforsankey!$AB1001,Bandwidth!$A$290:$A$306,0),MATCH(dataforsankey!$Z1001,Bandwidth!$B$289:$T$289,0))</f>
        <v>0</v>
      </c>
      <c r="AB1001" t="s">
        <v>576</v>
      </c>
      <c r="AE1001" s="179" t="s">
        <v>191</v>
      </c>
      <c r="AF1001" s="180" t="s">
        <v>222</v>
      </c>
      <c r="AG1001" s="179">
        <f>INDEX(Bandwidth!$B$353:$T$369,MATCH(dataforsankey!$AH1001,Bandwidth!$A$290:$A$306,0),MATCH(dataforsankey!$AF1001,Bandwidth!$B$289:$T$289,0))</f>
        <v>0</v>
      </c>
      <c r="AH1001" s="180" t="s">
        <v>8</v>
      </c>
    </row>
    <row r="1002" spans="25:34" x14ac:dyDescent="0.2">
      <c r="Y1002" s="11" t="s">
        <v>191</v>
      </c>
      <c r="Z1002" s="11" t="s">
        <v>224</v>
      </c>
      <c r="AA1002" s="11">
        <f>INDEX(Bandwidth!$B$290:$T$306,MATCH(dataforsankey!$AB1002,Bandwidth!$A$290:$A$306,0),MATCH(dataforsankey!$Z1002,Bandwidth!$B$289:$T$289,0))</f>
        <v>0</v>
      </c>
      <c r="AB1002" t="s">
        <v>576</v>
      </c>
      <c r="AE1002" s="179" t="s">
        <v>191</v>
      </c>
      <c r="AF1002" s="180" t="s">
        <v>223</v>
      </c>
      <c r="AG1002" s="179">
        <f>INDEX(Bandwidth!$B$353:$T$369,MATCH(dataforsankey!$AH1002,Bandwidth!$A$290:$A$306,0),MATCH(dataforsankey!$AF1002,Bandwidth!$B$289:$T$289,0))</f>
        <v>0</v>
      </c>
      <c r="AH1002" s="180" t="s">
        <v>8</v>
      </c>
    </row>
    <row r="1003" spans="25:34" x14ac:dyDescent="0.2">
      <c r="Y1003" s="11" t="s">
        <v>191</v>
      </c>
      <c r="Z1003" s="11" t="s">
        <v>225</v>
      </c>
      <c r="AA1003" s="11">
        <f>INDEX(Bandwidth!$B$290:$T$306,MATCH(dataforsankey!$AB1003,Bandwidth!$A$290:$A$306,0),MATCH(dataforsankey!$Z1003,Bandwidth!$B$289:$T$289,0))</f>
        <v>0</v>
      </c>
      <c r="AB1003" t="s">
        <v>576</v>
      </c>
      <c r="AE1003" s="179" t="s">
        <v>191</v>
      </c>
      <c r="AF1003" s="180" t="s">
        <v>224</v>
      </c>
      <c r="AG1003" s="179">
        <f>INDEX(Bandwidth!$B$353:$T$369,MATCH(dataforsankey!$AH1003,Bandwidth!$A$290:$A$306,0),MATCH(dataforsankey!$AF1003,Bandwidth!$B$289:$T$289,0))</f>
        <v>0</v>
      </c>
      <c r="AH1003" s="180" t="s">
        <v>8</v>
      </c>
    </row>
    <row r="1004" spans="25:34" x14ac:dyDescent="0.2">
      <c r="Y1004" s="11" t="s">
        <v>191</v>
      </c>
      <c r="Z1004" s="11" t="s">
        <v>226</v>
      </c>
      <c r="AA1004" s="11">
        <f>INDEX(Bandwidth!$B$290:$T$306,MATCH(dataforsankey!$AB1004,Bandwidth!$A$290:$A$306,0),MATCH(dataforsankey!$Z1004,Bandwidth!$B$289:$T$289,0))</f>
        <v>0</v>
      </c>
      <c r="AB1004" t="s">
        <v>576</v>
      </c>
      <c r="AE1004" s="179" t="s">
        <v>191</v>
      </c>
      <c r="AF1004" s="180" t="s">
        <v>225</v>
      </c>
      <c r="AG1004" s="179">
        <f>INDEX(Bandwidth!$B$353:$T$369,MATCH(dataforsankey!$AH1004,Bandwidth!$A$290:$A$306,0),MATCH(dataforsankey!$AF1004,Bandwidth!$B$289:$T$289,0))</f>
        <v>0</v>
      </c>
      <c r="AH1004" s="180" t="s">
        <v>8</v>
      </c>
    </row>
    <row r="1005" spans="25:34" x14ac:dyDescent="0.2">
      <c r="Y1005" s="11" t="s">
        <v>191</v>
      </c>
      <c r="Z1005" s="11" t="s">
        <v>279</v>
      </c>
      <c r="AA1005" s="11">
        <f>INDEX(Bandwidth!$B$290:$T$306,MATCH(dataforsankey!$AB1005,Bandwidth!$A$290:$A$306,0),MATCH(dataforsankey!$Z1005,Bandwidth!$B$289:$T$289,0))</f>
        <v>0</v>
      </c>
      <c r="AB1005" t="s">
        <v>576</v>
      </c>
      <c r="AE1005" s="179" t="s">
        <v>191</v>
      </c>
      <c r="AF1005" s="180" t="s">
        <v>226</v>
      </c>
      <c r="AG1005" s="179">
        <f>INDEX(Bandwidth!$B$353:$T$369,MATCH(dataforsankey!$AH1005,Bandwidth!$A$290:$A$306,0),MATCH(dataforsankey!$AF1005,Bandwidth!$B$289:$T$289,0))</f>
        <v>0</v>
      </c>
      <c r="AH1005" s="180" t="s">
        <v>8</v>
      </c>
    </row>
    <row r="1006" spans="25:34" x14ac:dyDescent="0.2">
      <c r="Y1006" t="s">
        <v>330</v>
      </c>
      <c r="Z1006" s="11" t="s">
        <v>6</v>
      </c>
      <c r="AA1006" s="11">
        <f>INDEX(Bandwidth!$B$290:$T$306,MATCH(dataforsankey!$AB1006,Bandwidth!$A$290:$A$306,0),MATCH(dataforsankey!$Z1006,Bandwidth!$B$289:$T$289,0))</f>
        <v>0</v>
      </c>
      <c r="AB1006" t="s">
        <v>575</v>
      </c>
      <c r="AE1006" s="179" t="s">
        <v>191</v>
      </c>
      <c r="AF1006" s="180" t="s">
        <v>279</v>
      </c>
      <c r="AG1006" s="179">
        <f>INDEX(Bandwidth!$B$353:$T$369,MATCH(dataforsankey!$AH1006,Bandwidth!$A$290:$A$306,0),MATCH(dataforsankey!$AF1006,Bandwidth!$B$289:$T$289,0))</f>
        <v>0</v>
      </c>
      <c r="AH1006" s="180" t="s">
        <v>8</v>
      </c>
    </row>
    <row r="1007" spans="25:34" x14ac:dyDescent="0.2">
      <c r="Y1007" s="177" t="s">
        <v>330</v>
      </c>
      <c r="Z1007" s="178" t="s">
        <v>191</v>
      </c>
      <c r="AA1007" s="178">
        <f>INDEX(Bandwidth!$B$290:$T$306,MATCH(dataforsankey!$AB1007,Bandwidth!$A$290:$A$306,0),MATCH(dataforsankey!$Z1007,Bandwidth!$B$289:$T$289,0))-INDEX($AG$974:$AG$990,MATCH($AB1007,$AH$974:$AH$990,0),1)</f>
        <v>0.74352587598045583</v>
      </c>
      <c r="AB1007" s="177" t="s">
        <v>575</v>
      </c>
      <c r="AE1007" s="179" t="s">
        <v>191</v>
      </c>
      <c r="AF1007" s="180" t="s">
        <v>215</v>
      </c>
      <c r="AG1007" s="179">
        <f>INDEX(Bandwidth!$B$353:$T$369,MATCH(dataforsankey!$AH1007,Bandwidth!$A$290:$A$306,0),MATCH(dataforsankey!$AF1007,Bandwidth!$B$289:$T$289,0))</f>
        <v>1.6802864513959233</v>
      </c>
      <c r="AH1007" s="180" t="s">
        <v>19</v>
      </c>
    </row>
    <row r="1008" spans="25:34" x14ac:dyDescent="0.2">
      <c r="Y1008" s="11" t="s">
        <v>191</v>
      </c>
      <c r="Z1008" s="11" t="s">
        <v>215</v>
      </c>
      <c r="AA1008" s="11">
        <f>INDEX(Bandwidth!$B$290:$T$306,MATCH(dataforsankey!$AB1008,Bandwidth!$A$290:$A$306,0),MATCH(dataforsankey!$Z1008,Bandwidth!$B$289:$T$289,0))</f>
        <v>0</v>
      </c>
      <c r="AB1008" t="s">
        <v>575</v>
      </c>
      <c r="AE1008" s="179" t="s">
        <v>191</v>
      </c>
      <c r="AF1008" s="180" t="s">
        <v>216</v>
      </c>
      <c r="AG1008" s="179">
        <f>INDEX(Bandwidth!$B$353:$T$369,MATCH(dataforsankey!$AH1008,Bandwidth!$A$290:$A$306,0),MATCH(dataforsankey!$AF1008,Bandwidth!$B$289:$T$289,0))</f>
        <v>0</v>
      </c>
      <c r="AH1008" s="180" t="s">
        <v>19</v>
      </c>
    </row>
    <row r="1009" spans="25:34" x14ac:dyDescent="0.2">
      <c r="Y1009" s="11" t="s">
        <v>191</v>
      </c>
      <c r="Z1009" s="11" t="s">
        <v>216</v>
      </c>
      <c r="AA1009" s="11">
        <f>INDEX(Bandwidth!$B$290:$T$306,MATCH(dataforsankey!$AB1009,Bandwidth!$A$290:$A$306,0),MATCH(dataforsankey!$Z1009,Bandwidth!$B$289:$T$289,0))</f>
        <v>0</v>
      </c>
      <c r="AB1009" t="s">
        <v>575</v>
      </c>
      <c r="AE1009" s="179" t="s">
        <v>191</v>
      </c>
      <c r="AF1009" s="180" t="s">
        <v>217</v>
      </c>
      <c r="AG1009" s="179">
        <f>INDEX(Bandwidth!$B$353:$T$369,MATCH(dataforsankey!$AH1009,Bandwidth!$A$290:$A$306,0),MATCH(dataforsankey!$AF1009,Bandwidth!$B$289:$T$289,0))</f>
        <v>0</v>
      </c>
      <c r="AH1009" s="180" t="s">
        <v>19</v>
      </c>
    </row>
    <row r="1010" spans="25:34" x14ac:dyDescent="0.2">
      <c r="Y1010" s="11" t="s">
        <v>191</v>
      </c>
      <c r="Z1010" s="11" t="s">
        <v>217</v>
      </c>
      <c r="AA1010" s="11">
        <f>INDEX(Bandwidth!$B$290:$T$306,MATCH(dataforsankey!$AB1010,Bandwidth!$A$290:$A$306,0),MATCH(dataforsankey!$Z1010,Bandwidth!$B$289:$T$289,0))</f>
        <v>0</v>
      </c>
      <c r="AB1010" t="s">
        <v>575</v>
      </c>
      <c r="AE1010" s="179" t="s">
        <v>191</v>
      </c>
      <c r="AF1010" s="180" t="s">
        <v>218</v>
      </c>
      <c r="AG1010" s="179">
        <f>INDEX(Bandwidth!$B$353:$T$369,MATCH(dataforsankey!$AH1010,Bandwidth!$A$290:$A$306,0),MATCH(dataforsankey!$AF1010,Bandwidth!$B$289:$T$289,0))</f>
        <v>0</v>
      </c>
      <c r="AH1010" s="180" t="s">
        <v>19</v>
      </c>
    </row>
    <row r="1011" spans="25:34" x14ac:dyDescent="0.2">
      <c r="Y1011" s="11" t="s">
        <v>191</v>
      </c>
      <c r="Z1011" s="11" t="s">
        <v>218</v>
      </c>
      <c r="AA1011" s="11">
        <f>INDEX(Bandwidth!$B$290:$T$306,MATCH(dataforsankey!$AB1011,Bandwidth!$A$290:$A$306,0),MATCH(dataforsankey!$Z1011,Bandwidth!$B$289:$T$289,0))</f>
        <v>0</v>
      </c>
      <c r="AB1011" t="s">
        <v>575</v>
      </c>
      <c r="AE1011" s="179" t="s">
        <v>191</v>
      </c>
      <c r="AF1011" s="180" t="s">
        <v>219</v>
      </c>
      <c r="AG1011" s="179">
        <f>INDEX(Bandwidth!$B$353:$T$369,MATCH(dataforsankey!$AH1011,Bandwidth!$A$290:$A$306,0),MATCH(dataforsankey!$AF1011,Bandwidth!$B$289:$T$289,0))</f>
        <v>0</v>
      </c>
      <c r="AH1011" s="180" t="s">
        <v>19</v>
      </c>
    </row>
    <row r="1012" spans="25:34" x14ac:dyDescent="0.2">
      <c r="Y1012" s="11" t="s">
        <v>191</v>
      </c>
      <c r="Z1012" s="11" t="s">
        <v>219</v>
      </c>
      <c r="AA1012" s="11">
        <f>INDEX(Bandwidth!$B$290:$T$306,MATCH(dataforsankey!$AB1012,Bandwidth!$A$290:$A$306,0),MATCH(dataforsankey!$Z1012,Bandwidth!$B$289:$T$289,0))</f>
        <v>0</v>
      </c>
      <c r="AB1012" t="s">
        <v>575</v>
      </c>
      <c r="AE1012" s="179" t="s">
        <v>191</v>
      </c>
      <c r="AF1012" s="180" t="s">
        <v>302</v>
      </c>
      <c r="AG1012" s="179">
        <f>INDEX(Bandwidth!$B$353:$T$369,MATCH(dataforsankey!$AH1012,Bandwidth!$A$290:$A$306,0),MATCH(dataforsankey!$AF1012,Bandwidth!$B$289:$T$289,0))</f>
        <v>0</v>
      </c>
      <c r="AH1012" s="180" t="s">
        <v>19</v>
      </c>
    </row>
    <row r="1013" spans="25:34" x14ac:dyDescent="0.2">
      <c r="Y1013" s="11" t="s">
        <v>191</v>
      </c>
      <c r="Z1013" s="11" t="s">
        <v>302</v>
      </c>
      <c r="AA1013" s="11">
        <f>INDEX(Bandwidth!$B$290:$T$306,MATCH(dataforsankey!$AB1013,Bandwidth!$A$290:$A$306,0),MATCH(dataforsankey!$Z1013,Bandwidth!$B$289:$T$289,0))</f>
        <v>0</v>
      </c>
      <c r="AB1013" t="s">
        <v>575</v>
      </c>
      <c r="AE1013" s="179" t="s">
        <v>191</v>
      </c>
      <c r="AF1013" s="180" t="s">
        <v>220</v>
      </c>
      <c r="AG1013" s="179">
        <f>INDEX(Bandwidth!$B$353:$T$369,MATCH(dataforsankey!$AH1013,Bandwidth!$A$290:$A$306,0),MATCH(dataforsankey!$AF1013,Bandwidth!$B$289:$T$289,0))</f>
        <v>0</v>
      </c>
      <c r="AH1013" s="180" t="s">
        <v>19</v>
      </c>
    </row>
    <row r="1014" spans="25:34" x14ac:dyDescent="0.2">
      <c r="Y1014" s="11" t="s">
        <v>191</v>
      </c>
      <c r="Z1014" s="11" t="s">
        <v>220</v>
      </c>
      <c r="AA1014" s="11">
        <f>INDEX(Bandwidth!$B$290:$T$306,MATCH(dataforsankey!$AB1014,Bandwidth!$A$290:$A$306,0),MATCH(dataforsankey!$Z1014,Bandwidth!$B$289:$T$289,0))</f>
        <v>0</v>
      </c>
      <c r="AB1014" t="s">
        <v>575</v>
      </c>
      <c r="AE1014" s="179" t="s">
        <v>191</v>
      </c>
      <c r="AF1014" s="180" t="s">
        <v>221</v>
      </c>
      <c r="AG1014" s="179">
        <f>INDEX(Bandwidth!$B$353:$T$369,MATCH(dataforsankey!$AH1014,Bandwidth!$A$290:$A$306,0),MATCH(dataforsankey!$AF1014,Bandwidth!$B$289:$T$289,0))</f>
        <v>0</v>
      </c>
      <c r="AH1014" s="180" t="s">
        <v>19</v>
      </c>
    </row>
    <row r="1015" spans="25:34" x14ac:dyDescent="0.2">
      <c r="Y1015" s="11" t="s">
        <v>191</v>
      </c>
      <c r="Z1015" s="11" t="s">
        <v>221</v>
      </c>
      <c r="AA1015" s="11">
        <f>INDEX(Bandwidth!$B$290:$T$306,MATCH(dataforsankey!$AB1015,Bandwidth!$A$290:$A$306,0),MATCH(dataforsankey!$Z1015,Bandwidth!$B$289:$T$289,0))</f>
        <v>0</v>
      </c>
      <c r="AB1015" t="s">
        <v>575</v>
      </c>
      <c r="AE1015" s="179" t="s">
        <v>191</v>
      </c>
      <c r="AF1015" s="180" t="s">
        <v>222</v>
      </c>
      <c r="AG1015" s="179">
        <f>INDEX(Bandwidth!$B$353:$T$369,MATCH(dataforsankey!$AH1015,Bandwidth!$A$290:$A$306,0),MATCH(dataforsankey!$AF1015,Bandwidth!$B$289:$T$289,0))</f>
        <v>0</v>
      </c>
      <c r="AH1015" s="180" t="s">
        <v>19</v>
      </c>
    </row>
    <row r="1016" spans="25:34" x14ac:dyDescent="0.2">
      <c r="Y1016" s="11" t="s">
        <v>191</v>
      </c>
      <c r="Z1016" s="11" t="s">
        <v>222</v>
      </c>
      <c r="AA1016" s="11">
        <f>INDEX(Bandwidth!$B$290:$T$306,MATCH(dataforsankey!$AB1016,Bandwidth!$A$290:$A$306,0),MATCH(dataforsankey!$Z1016,Bandwidth!$B$289:$T$289,0))</f>
        <v>0.74352587598045583</v>
      </c>
      <c r="AB1016" t="s">
        <v>575</v>
      </c>
      <c r="AE1016" s="179" t="s">
        <v>191</v>
      </c>
      <c r="AF1016" s="180" t="s">
        <v>223</v>
      </c>
      <c r="AG1016" s="179">
        <f>INDEX(Bandwidth!$B$353:$T$369,MATCH(dataforsankey!$AH1016,Bandwidth!$A$290:$A$306,0),MATCH(dataforsankey!$AF1016,Bandwidth!$B$289:$T$289,0))</f>
        <v>0</v>
      </c>
      <c r="AH1016" s="180" t="s">
        <v>19</v>
      </c>
    </row>
    <row r="1017" spans="25:34" x14ac:dyDescent="0.2">
      <c r="Y1017" s="11" t="s">
        <v>191</v>
      </c>
      <c r="Z1017" s="11" t="s">
        <v>223</v>
      </c>
      <c r="AA1017" s="11">
        <f>INDEX(Bandwidth!$B$290:$T$306,MATCH(dataforsankey!$AB1017,Bandwidth!$A$290:$A$306,0),MATCH(dataforsankey!$Z1017,Bandwidth!$B$289:$T$289,0))</f>
        <v>0</v>
      </c>
      <c r="AB1017" t="s">
        <v>575</v>
      </c>
      <c r="AE1017" s="179" t="s">
        <v>191</v>
      </c>
      <c r="AF1017" s="180" t="s">
        <v>224</v>
      </c>
      <c r="AG1017" s="179">
        <f>INDEX(Bandwidth!$B$353:$T$369,MATCH(dataforsankey!$AH1017,Bandwidth!$A$290:$A$306,0),MATCH(dataforsankey!$AF1017,Bandwidth!$B$289:$T$289,0))</f>
        <v>0</v>
      </c>
      <c r="AH1017" s="180" t="s">
        <v>19</v>
      </c>
    </row>
    <row r="1018" spans="25:34" x14ac:dyDescent="0.2">
      <c r="Y1018" s="11" t="s">
        <v>191</v>
      </c>
      <c r="Z1018" s="11" t="s">
        <v>224</v>
      </c>
      <c r="AA1018" s="11">
        <f>INDEX(Bandwidth!$B$290:$T$306,MATCH(dataforsankey!$AB1018,Bandwidth!$A$290:$A$306,0),MATCH(dataforsankey!$Z1018,Bandwidth!$B$289:$T$289,0))</f>
        <v>0</v>
      </c>
      <c r="AB1018" t="s">
        <v>575</v>
      </c>
      <c r="AE1018" s="179" t="s">
        <v>191</v>
      </c>
      <c r="AF1018" s="180" t="s">
        <v>225</v>
      </c>
      <c r="AG1018" s="179">
        <f>INDEX(Bandwidth!$B$353:$T$369,MATCH(dataforsankey!$AH1018,Bandwidth!$A$290:$A$306,0),MATCH(dataforsankey!$AF1018,Bandwidth!$B$289:$T$289,0))</f>
        <v>0</v>
      </c>
      <c r="AH1018" s="180" t="s">
        <v>19</v>
      </c>
    </row>
    <row r="1019" spans="25:34" x14ac:dyDescent="0.2">
      <c r="Y1019" s="11" t="s">
        <v>191</v>
      </c>
      <c r="Z1019" s="11" t="s">
        <v>225</v>
      </c>
      <c r="AA1019" s="11">
        <f>INDEX(Bandwidth!$B$290:$T$306,MATCH(dataforsankey!$AB1019,Bandwidth!$A$290:$A$306,0),MATCH(dataforsankey!$Z1019,Bandwidth!$B$289:$T$289,0))</f>
        <v>0</v>
      </c>
      <c r="AB1019" t="s">
        <v>575</v>
      </c>
      <c r="AE1019" s="179" t="s">
        <v>191</v>
      </c>
      <c r="AF1019" s="180" t="s">
        <v>226</v>
      </c>
      <c r="AG1019" s="179">
        <f>INDEX(Bandwidth!$B$353:$T$369,MATCH(dataforsankey!$AH1019,Bandwidth!$A$290:$A$306,0),MATCH(dataforsankey!$AF1019,Bandwidth!$B$289:$T$289,0))</f>
        <v>0</v>
      </c>
      <c r="AH1019" s="180" t="s">
        <v>19</v>
      </c>
    </row>
    <row r="1020" spans="25:34" x14ac:dyDescent="0.2">
      <c r="Y1020" s="11" t="s">
        <v>191</v>
      </c>
      <c r="Z1020" s="11" t="s">
        <v>226</v>
      </c>
      <c r="AA1020" s="11">
        <f>INDEX(Bandwidth!$B$290:$T$306,MATCH(dataforsankey!$AB1020,Bandwidth!$A$290:$A$306,0),MATCH(dataforsankey!$Z1020,Bandwidth!$B$289:$T$289,0))</f>
        <v>0</v>
      </c>
      <c r="AB1020" t="s">
        <v>575</v>
      </c>
      <c r="AE1020" s="179" t="s">
        <v>191</v>
      </c>
      <c r="AF1020" s="180" t="s">
        <v>279</v>
      </c>
      <c r="AG1020" s="179">
        <f>INDEX(Bandwidth!$B$353:$T$369,MATCH(dataforsankey!$AH1020,Bandwidth!$A$290:$A$306,0),MATCH(dataforsankey!$AF1020,Bandwidth!$B$289:$T$289,0))</f>
        <v>0</v>
      </c>
      <c r="AH1020" s="180" t="s">
        <v>19</v>
      </c>
    </row>
    <row r="1021" spans="25:34" x14ac:dyDescent="0.2">
      <c r="Y1021" s="11" t="s">
        <v>191</v>
      </c>
      <c r="Z1021" s="11" t="s">
        <v>279</v>
      </c>
      <c r="AA1021" s="11">
        <f>INDEX(Bandwidth!$B$290:$T$306,MATCH(dataforsankey!$AB1021,Bandwidth!$A$290:$A$306,0),MATCH(dataforsankey!$Z1021,Bandwidth!$B$289:$T$289,0))</f>
        <v>0</v>
      </c>
      <c r="AB1021" t="s">
        <v>575</v>
      </c>
    </row>
    <row r="1022" spans="25:34" x14ac:dyDescent="0.2">
      <c r="Y1022" s="179" t="s">
        <v>330</v>
      </c>
      <c r="Z1022" s="179" t="s">
        <v>213</v>
      </c>
      <c r="AA1022" s="179">
        <f>SUMIF(dataforsankey!$AB$1022:$AB$1038,dataforsankey!$AB1022,Bandwidth!$B$290:$B$306)</f>
        <v>0</v>
      </c>
      <c r="AB1022" s="180" t="s">
        <v>82</v>
      </c>
    </row>
    <row r="1023" spans="25:34" x14ac:dyDescent="0.2">
      <c r="Y1023" s="179" t="s">
        <v>330</v>
      </c>
      <c r="Z1023" s="179" t="s">
        <v>213</v>
      </c>
      <c r="AA1023" s="179">
        <f>SUMIF(dataforsankey!$AB$1022:$AB$1038,dataforsankey!$AB1023,Bandwidth!$B$290:$B$306)</f>
        <v>0.19004609605610839</v>
      </c>
      <c r="AB1023" s="180" t="s">
        <v>127</v>
      </c>
    </row>
    <row r="1024" spans="25:34" x14ac:dyDescent="0.2">
      <c r="Y1024" s="179" t="s">
        <v>330</v>
      </c>
      <c r="Z1024" s="179" t="s">
        <v>213</v>
      </c>
      <c r="AA1024" s="179">
        <f>SUMIF(dataforsankey!$AB$1022:$AB$1038,dataforsankey!$AB1024,Bandwidth!$B$290:$B$306)</f>
        <v>0.19364381155202359</v>
      </c>
      <c r="AB1024" s="180" t="s">
        <v>8</v>
      </c>
    </row>
    <row r="1025" spans="25:28" x14ac:dyDescent="0.2">
      <c r="Y1025" s="179" t="s">
        <v>330</v>
      </c>
      <c r="Z1025" s="179" t="s">
        <v>213</v>
      </c>
      <c r="AA1025" s="179">
        <f>SUMIF(dataforsankey!$AB$1022:$AB$1038,dataforsankey!$AB1025,Bandwidth!$B$290:$B$306)</f>
        <v>0.16802864513959234</v>
      </c>
      <c r="AB1025" s="180" t="s">
        <v>19</v>
      </c>
    </row>
    <row r="1026" spans="25:28" x14ac:dyDescent="0.2">
      <c r="Y1026" s="179" t="s">
        <v>330</v>
      </c>
      <c r="Z1026" s="179" t="s">
        <v>213</v>
      </c>
      <c r="AA1026" s="179">
        <f>SUMIF(dataforsankey!$AB$1022:$AB$1038,dataforsankey!$AB1026,Bandwidth!$B$290:$B$306)</f>
        <v>0</v>
      </c>
      <c r="AB1026" s="180" t="s">
        <v>1</v>
      </c>
    </row>
    <row r="1027" spans="25:28" x14ac:dyDescent="0.2">
      <c r="Y1027" s="179" t="s">
        <v>330</v>
      </c>
      <c r="Z1027" s="179" t="s">
        <v>213</v>
      </c>
      <c r="AA1027" s="179">
        <f>SUMIF(dataforsankey!$AB$1022:$AB$1038,dataforsankey!$AB1027,Bandwidth!$B$290:$B$306)</f>
        <v>0</v>
      </c>
      <c r="AB1027" s="180" t="s">
        <v>10</v>
      </c>
    </row>
    <row r="1028" spans="25:28" x14ac:dyDescent="0.2">
      <c r="Y1028" s="179" t="s">
        <v>330</v>
      </c>
      <c r="Z1028" s="179" t="s">
        <v>213</v>
      </c>
      <c r="AA1028" s="179">
        <f>SUMIF(dataforsankey!$AB$1022:$AB$1038,dataforsankey!$AB1028,Bandwidth!$B$290:$B$306)</f>
        <v>0</v>
      </c>
      <c r="AB1028" s="180" t="s">
        <v>11</v>
      </c>
    </row>
    <row r="1029" spans="25:28" x14ac:dyDescent="0.2">
      <c r="Y1029" s="179" t="s">
        <v>330</v>
      </c>
      <c r="Z1029" s="179" t="s">
        <v>213</v>
      </c>
      <c r="AA1029" s="179">
        <f>SUMIF(dataforsankey!$AB$1022:$AB$1038,dataforsankey!$AB1029,Bandwidth!$B$290:$B$306)</f>
        <v>0</v>
      </c>
      <c r="AB1029" s="180" t="s">
        <v>25</v>
      </c>
    </row>
    <row r="1030" spans="25:28" x14ac:dyDescent="0.2">
      <c r="Y1030" s="179" t="s">
        <v>330</v>
      </c>
      <c r="Z1030" s="179" t="s">
        <v>213</v>
      </c>
      <c r="AA1030" s="179">
        <f>SUMIF(dataforsankey!$AB$1022:$AB$1038,dataforsankey!$AB1030,Bandwidth!$B$290:$B$306)</f>
        <v>0</v>
      </c>
      <c r="AB1030" s="180" t="s">
        <v>7</v>
      </c>
    </row>
    <row r="1031" spans="25:28" x14ac:dyDescent="0.2">
      <c r="Y1031" s="179" t="s">
        <v>330</v>
      </c>
      <c r="Z1031" s="179" t="s">
        <v>213</v>
      </c>
      <c r="AA1031" s="179">
        <f>SUMIF(dataforsankey!$AB$1022:$AB$1038,dataforsankey!$AB1031,Bandwidth!$B$290:$B$306)</f>
        <v>0</v>
      </c>
      <c r="AB1031" s="180" t="s">
        <v>2</v>
      </c>
    </row>
    <row r="1032" spans="25:28" x14ac:dyDescent="0.2">
      <c r="Y1032" s="179" t="s">
        <v>330</v>
      </c>
      <c r="Z1032" s="179" t="s">
        <v>213</v>
      </c>
      <c r="AA1032" s="179">
        <f>SUMIF(dataforsankey!$AB$1022:$AB$1038,dataforsankey!$AB1032,Bandwidth!$B$290:$B$306)</f>
        <v>0</v>
      </c>
      <c r="AB1032" s="180" t="s">
        <v>30</v>
      </c>
    </row>
    <row r="1033" spans="25:28" x14ac:dyDescent="0.2">
      <c r="Y1033" s="179" t="s">
        <v>330</v>
      </c>
      <c r="Z1033" s="179" t="s">
        <v>213</v>
      </c>
      <c r="AA1033" s="179">
        <f>SUMIF(dataforsankey!$AB$1022:$AB$1038,dataforsankey!$AB1033,Bandwidth!$B$290:$B$306)</f>
        <v>0</v>
      </c>
      <c r="AB1033" s="180" t="s">
        <v>31</v>
      </c>
    </row>
    <row r="1034" spans="25:28" x14ac:dyDescent="0.2">
      <c r="Y1034" s="179" t="s">
        <v>330</v>
      </c>
      <c r="Z1034" s="179" t="s">
        <v>213</v>
      </c>
      <c r="AA1034" s="179">
        <f>SUMIF(dataforsankey!$AB$1022:$AB$1038,dataforsankey!$AB1034,Bandwidth!$B$290:$B$306)</f>
        <v>5.906203232650975E-2</v>
      </c>
      <c r="AB1034" s="180" t="s">
        <v>122</v>
      </c>
    </row>
    <row r="1035" spans="25:28" x14ac:dyDescent="0.2">
      <c r="Y1035" s="179" t="s">
        <v>330</v>
      </c>
      <c r="Z1035" s="179" t="s">
        <v>213</v>
      </c>
      <c r="AA1035" s="179">
        <f>SUMIF(dataforsankey!$AB$1022:$AB$1038,dataforsankey!$AB1035,Bandwidth!$B$290:$B$306)</f>
        <v>0</v>
      </c>
      <c r="AB1035" s="180" t="s">
        <v>32</v>
      </c>
    </row>
    <row r="1036" spans="25:28" x14ac:dyDescent="0.2">
      <c r="Y1036" s="179" t="s">
        <v>330</v>
      </c>
      <c r="Z1036" s="179" t="s">
        <v>213</v>
      </c>
      <c r="AA1036" s="179">
        <f>SUMIF(dataforsankey!$AB$1022:$AB$1038,dataforsankey!$AB1036,Bandwidth!$B$290:$B$306)</f>
        <v>0</v>
      </c>
      <c r="AB1036" s="180" t="s">
        <v>105</v>
      </c>
    </row>
    <row r="1037" spans="25:28" x14ac:dyDescent="0.2">
      <c r="Y1037" s="179" t="s">
        <v>330</v>
      </c>
      <c r="Z1037" s="179" t="s">
        <v>213</v>
      </c>
      <c r="AA1037" s="179">
        <f>SUMIF(dataforsankey!$AB$1022:$AB$1038,dataforsankey!$AB1037,Bandwidth!$B$290:$B$306)</f>
        <v>0.18968011563510845</v>
      </c>
      <c r="AB1037" s="180" t="s">
        <v>576</v>
      </c>
    </row>
    <row r="1038" spans="25:28" x14ac:dyDescent="0.2">
      <c r="Y1038" s="179" t="s">
        <v>330</v>
      </c>
      <c r="Z1038" s="179" t="s">
        <v>213</v>
      </c>
      <c r="AA1038" s="179">
        <f>SUMIF(dataforsankey!$AB$1022:$AB$1038,dataforsankey!$AB1038,Bandwidth!$B$290:$B$306)</f>
        <v>8.2613986220050659E-2</v>
      </c>
      <c r="AB1038" s="180" t="s">
        <v>575</v>
      </c>
    </row>
    <row r="1039" spans="25:28" x14ac:dyDescent="0.2">
      <c r="Y1039" s="180" t="s">
        <v>335</v>
      </c>
      <c r="Z1039" s="179" t="s">
        <v>191</v>
      </c>
      <c r="AA1039" s="179">
        <f>INDEX('In-Use Stocks'!$O$81:$O$97,MATCH(dataforsankey!$AB1039,'In-Use Stocks'!$L$81:$L$97,0),1)</f>
        <v>2.3115025971221326</v>
      </c>
      <c r="AB1039" s="180" t="s">
        <v>82</v>
      </c>
    </row>
    <row r="1040" spans="25:28" x14ac:dyDescent="0.2">
      <c r="Y1040" s="180" t="s">
        <v>335</v>
      </c>
      <c r="Z1040" s="179" t="s">
        <v>191</v>
      </c>
      <c r="AA1040" s="179">
        <f>INDEX('In-Use Stocks'!$O$81:$O$97,MATCH(dataforsankey!$AB1040,'In-Use Stocks'!$L$81:$L$97,0),1)</f>
        <v>0</v>
      </c>
      <c r="AB1040" s="180" t="s">
        <v>127</v>
      </c>
    </row>
    <row r="1041" spans="25:28" x14ac:dyDescent="0.2">
      <c r="Y1041" s="180" t="s">
        <v>335</v>
      </c>
      <c r="Z1041" s="179" t="s">
        <v>191</v>
      </c>
      <c r="AA1041" s="179">
        <f>INDEX('In-Use Stocks'!$O$81:$O$97,MATCH(dataforsankey!$AB1041,'In-Use Stocks'!$L$81:$L$97,0),1)</f>
        <v>0.24656308762875945</v>
      </c>
      <c r="AB1041" s="180" t="s">
        <v>8</v>
      </c>
    </row>
    <row r="1042" spans="25:28" x14ac:dyDescent="0.2">
      <c r="Y1042" s="180" t="s">
        <v>335</v>
      </c>
      <c r="Z1042" s="179" t="s">
        <v>191</v>
      </c>
      <c r="AA1042" s="179">
        <f>INDEX('In-Use Stocks'!$O$81:$O$97,MATCH(dataforsankey!$AB1042,'In-Use Stocks'!$L$81:$L$97,0),1)</f>
        <v>0.21394776948275829</v>
      </c>
      <c r="AB1042" s="180" t="s">
        <v>19</v>
      </c>
    </row>
    <row r="1043" spans="25:28" x14ac:dyDescent="0.2">
      <c r="Y1043" s="180" t="s">
        <v>335</v>
      </c>
      <c r="Z1043" s="179" t="s">
        <v>191</v>
      </c>
      <c r="AA1043" s="179">
        <f>INDEX('In-Use Stocks'!$O$81:$O$97,MATCH(dataforsankey!$AB1043,'In-Use Stocks'!$L$81:$L$97,0),1)</f>
        <v>0.29919555911991708</v>
      </c>
      <c r="AB1043" s="180" t="s">
        <v>1</v>
      </c>
    </row>
    <row r="1044" spans="25:28" x14ac:dyDescent="0.2">
      <c r="Y1044" s="180" t="s">
        <v>335</v>
      </c>
      <c r="Z1044" s="179" t="s">
        <v>191</v>
      </c>
      <c r="AA1044" s="179">
        <f>INDEX('In-Use Stocks'!$O$81:$O$97,MATCH(dataforsankey!$AB1044,'In-Use Stocks'!$L$81:$L$97,0),1)</f>
        <v>0.23014749972219758</v>
      </c>
      <c r="AB1044" s="180" t="s">
        <v>10</v>
      </c>
    </row>
    <row r="1045" spans="25:28" x14ac:dyDescent="0.2">
      <c r="Y1045" s="180" t="s">
        <v>335</v>
      </c>
      <c r="Z1045" s="179" t="s">
        <v>191</v>
      </c>
      <c r="AA1045" s="179">
        <f>INDEX('In-Use Stocks'!$O$81:$O$97,MATCH(dataforsankey!$AB1045,'In-Use Stocks'!$L$81:$L$97,0),1)</f>
        <v>0.21470615201667198</v>
      </c>
      <c r="AB1045" s="180" t="s">
        <v>11</v>
      </c>
    </row>
    <row r="1046" spans="25:28" x14ac:dyDescent="0.2">
      <c r="Y1046" s="180" t="s">
        <v>335</v>
      </c>
      <c r="Z1046" s="179" t="s">
        <v>191</v>
      </c>
      <c r="AA1046" s="179">
        <f>INDEX('In-Use Stocks'!$O$81:$O$97,MATCH(dataforsankey!$AB1046,'In-Use Stocks'!$L$81:$L$97,0),1)</f>
        <v>0.22047927593266414</v>
      </c>
      <c r="AB1046" s="180" t="s">
        <v>25</v>
      </c>
    </row>
    <row r="1047" spans="25:28" x14ac:dyDescent="0.2">
      <c r="Y1047" s="180" t="s">
        <v>335</v>
      </c>
      <c r="Z1047" s="179" t="s">
        <v>191</v>
      </c>
      <c r="AA1047" s="179">
        <f>INDEX('In-Use Stocks'!$O$81:$O$97,MATCH(dataforsankey!$AB1047,'In-Use Stocks'!$L$81:$L$97,0),1)</f>
        <v>0.2256059786741765</v>
      </c>
      <c r="AB1047" s="180" t="s">
        <v>7</v>
      </c>
    </row>
    <row r="1048" spans="25:28" x14ac:dyDescent="0.2">
      <c r="Y1048" s="180" t="s">
        <v>335</v>
      </c>
      <c r="Z1048" s="179" t="s">
        <v>191</v>
      </c>
      <c r="AA1048" s="179">
        <f>INDEX('In-Use Stocks'!$O$81:$O$97,MATCH(dataforsankey!$AB1048,'In-Use Stocks'!$L$81:$L$97,0),1)</f>
        <v>0</v>
      </c>
      <c r="AB1048" s="180" t="s">
        <v>2</v>
      </c>
    </row>
    <row r="1049" spans="25:28" x14ac:dyDescent="0.2">
      <c r="Y1049" s="180" t="s">
        <v>335</v>
      </c>
      <c r="Z1049" s="179" t="s">
        <v>191</v>
      </c>
      <c r="AA1049" s="179">
        <f>INDEX('In-Use Stocks'!$O$81:$O$97,MATCH(dataforsankey!$AB1049,'In-Use Stocks'!$L$81:$L$97,0),1)</f>
        <v>0.17165519030958951</v>
      </c>
      <c r="AB1049" s="180" t="s">
        <v>30</v>
      </c>
    </row>
    <row r="1050" spans="25:28" x14ac:dyDescent="0.2">
      <c r="Y1050" s="180" t="s">
        <v>335</v>
      </c>
      <c r="Z1050" s="179" t="s">
        <v>191</v>
      </c>
      <c r="AA1050" s="179">
        <f>INDEX('In-Use Stocks'!$O$81:$O$97,MATCH(dataforsankey!$AB1050,'In-Use Stocks'!$L$81:$L$97,0),1)</f>
        <v>3.3151979060661384E-2</v>
      </c>
      <c r="AB1050" s="180" t="s">
        <v>31</v>
      </c>
    </row>
    <row r="1051" spans="25:28" x14ac:dyDescent="0.2">
      <c r="Y1051" s="180" t="s">
        <v>335</v>
      </c>
      <c r="Z1051" s="179" t="s">
        <v>191</v>
      </c>
      <c r="AA1051" s="179">
        <f>INDEX('In-Use Stocks'!$O$81:$O$97,MATCH(dataforsankey!$AB1051,'In-Use Stocks'!$L$81:$L$97,0),1)</f>
        <v>0</v>
      </c>
      <c r="AB1051" s="180" t="s">
        <v>122</v>
      </c>
    </row>
    <row r="1052" spans="25:28" x14ac:dyDescent="0.2">
      <c r="Y1052" s="180" t="s">
        <v>335</v>
      </c>
      <c r="Z1052" s="179" t="s">
        <v>191</v>
      </c>
      <c r="AA1052" s="179">
        <f>INDEX('In-Use Stocks'!$O$81:$O$97,MATCH(dataforsankey!$AB1052,'In-Use Stocks'!$L$81:$L$97,0),1)</f>
        <v>0.81944083760395414</v>
      </c>
      <c r="AB1052" s="180" t="s">
        <v>32</v>
      </c>
    </row>
    <row r="1053" spans="25:28" x14ac:dyDescent="0.2">
      <c r="Y1053" s="180" t="s">
        <v>335</v>
      </c>
      <c r="Z1053" s="179" t="s">
        <v>191</v>
      </c>
      <c r="AA1053" s="179">
        <f>INDEX('In-Use Stocks'!$O$81:$O$97,MATCH(dataforsankey!$AB1053,'In-Use Stocks'!$L$81:$L$97,0),1)</f>
        <v>0.72861536240787916</v>
      </c>
      <c r="AB1053" s="180" t="s">
        <v>105</v>
      </c>
    </row>
    <row r="1054" spans="25:28" x14ac:dyDescent="0.2">
      <c r="Y1054" s="180" t="s">
        <v>335</v>
      </c>
      <c r="Z1054" s="179" t="s">
        <v>191</v>
      </c>
      <c r="AA1054" s="179">
        <f>INDEX('In-Use Stocks'!$O$81:$O$97,MATCH(dataforsankey!$AB1054,'In-Use Stocks'!$L$81:$L$97,0),1)</f>
        <v>0</v>
      </c>
      <c r="AB1054" s="180" t="s">
        <v>576</v>
      </c>
    </row>
    <row r="1055" spans="25:28" x14ac:dyDescent="0.2">
      <c r="Y1055" s="180" t="s">
        <v>335</v>
      </c>
      <c r="Z1055" s="179" t="s">
        <v>191</v>
      </c>
      <c r="AA1055" s="179">
        <f>INDEX('In-Use Stocks'!$O$81:$O$97,MATCH(dataforsankey!$AB1055,'In-Use Stocks'!$L$81:$L$97,0),1)</f>
        <v>0</v>
      </c>
      <c r="AB1055" s="180" t="s">
        <v>575</v>
      </c>
    </row>
    <row r="1107" spans="15:15" x14ac:dyDescent="0.2">
      <c r="O1107" s="11"/>
    </row>
    <row r="1108" spans="15:15" x14ac:dyDescent="0.2">
      <c r="O1108" s="11"/>
    </row>
    <row r="1109" spans="15:15" x14ac:dyDescent="0.2">
      <c r="O1109" s="11"/>
    </row>
    <row r="1110" spans="15:15" x14ac:dyDescent="0.2">
      <c r="O1110" s="11"/>
    </row>
    <row r="1111" spans="15:15" x14ac:dyDescent="0.2">
      <c r="O1111" s="11"/>
    </row>
    <row r="1112" spans="15:15" x14ac:dyDescent="0.2">
      <c r="O1112" s="11"/>
    </row>
    <row r="1113" spans="15:15" x14ac:dyDescent="0.2">
      <c r="O1113" s="11"/>
    </row>
    <row r="1114" spans="15:15" x14ac:dyDescent="0.2">
      <c r="O1114" s="11"/>
    </row>
    <row r="1115" spans="15:15" x14ac:dyDescent="0.2">
      <c r="O1115" s="11"/>
    </row>
    <row r="1116" spans="15:15" x14ac:dyDescent="0.2">
      <c r="O1116" s="11"/>
    </row>
    <row r="1117" spans="15:15" x14ac:dyDescent="0.2">
      <c r="O1117" s="11"/>
    </row>
    <row r="1118" spans="15:15" x14ac:dyDescent="0.2">
      <c r="O1118" s="11"/>
    </row>
    <row r="1119" spans="15:15" x14ac:dyDescent="0.2">
      <c r="O1119" s="11"/>
    </row>
    <row r="1120" spans="15:15" x14ac:dyDescent="0.2">
      <c r="O1120" s="11"/>
    </row>
    <row r="1121" spans="15:15" x14ac:dyDescent="0.2">
      <c r="O1121" s="11"/>
    </row>
    <row r="1122" spans="15:15" x14ac:dyDescent="0.2">
      <c r="O1122" s="11"/>
    </row>
    <row r="1123" spans="15:15" x14ac:dyDescent="0.2">
      <c r="O1123" s="11"/>
    </row>
    <row r="1124" spans="15:15" x14ac:dyDescent="0.2">
      <c r="O1124" s="11"/>
    </row>
    <row r="1125" spans="15:15" x14ac:dyDescent="0.2">
      <c r="O1125" s="11"/>
    </row>
    <row r="1126" spans="15:15" x14ac:dyDescent="0.2">
      <c r="O1126" s="11"/>
    </row>
    <row r="1127" spans="15:15" x14ac:dyDescent="0.2">
      <c r="O1127" s="11"/>
    </row>
    <row r="1128" spans="15:15" x14ac:dyDescent="0.2">
      <c r="O1128" s="11"/>
    </row>
    <row r="1129" spans="15:15" x14ac:dyDescent="0.2">
      <c r="O1129" s="11"/>
    </row>
    <row r="1130" spans="15:15" x14ac:dyDescent="0.2">
      <c r="O1130" s="11"/>
    </row>
    <row r="1131" spans="15:15" x14ac:dyDescent="0.2">
      <c r="O1131" s="11"/>
    </row>
    <row r="1132" spans="15:15" x14ac:dyDescent="0.2">
      <c r="O1132" s="11"/>
    </row>
    <row r="1133" spans="15:15" x14ac:dyDescent="0.2">
      <c r="O1133" s="11"/>
    </row>
    <row r="1134" spans="15:15" x14ac:dyDescent="0.2">
      <c r="O1134" s="11"/>
    </row>
    <row r="1135" spans="15:15" x14ac:dyDescent="0.2">
      <c r="O1135" s="11"/>
    </row>
    <row r="1136" spans="15:15" x14ac:dyDescent="0.2">
      <c r="O1136" s="11"/>
    </row>
    <row r="1137" spans="15:15" x14ac:dyDescent="0.2">
      <c r="O1137" s="11"/>
    </row>
    <row r="1138" spans="15:15" x14ac:dyDescent="0.2">
      <c r="O1138" s="11"/>
    </row>
    <row r="1139" spans="15:15" x14ac:dyDescent="0.2">
      <c r="O1139" s="11"/>
    </row>
    <row r="1140" spans="15:15" x14ac:dyDescent="0.2">
      <c r="O1140" s="11"/>
    </row>
    <row r="1141" spans="15:15" x14ac:dyDescent="0.2">
      <c r="O1141" s="11"/>
    </row>
    <row r="1142" spans="15:15" x14ac:dyDescent="0.2">
      <c r="O1142" s="11"/>
    </row>
    <row r="1143" spans="15:15" x14ac:dyDescent="0.2">
      <c r="O1143" s="11"/>
    </row>
    <row r="1144" spans="15:15" x14ac:dyDescent="0.2">
      <c r="O1144" s="11"/>
    </row>
    <row r="1145" spans="15:15" x14ac:dyDescent="0.2">
      <c r="O1145" s="11"/>
    </row>
    <row r="1146" spans="15:15" x14ac:dyDescent="0.2">
      <c r="O1146" s="11"/>
    </row>
    <row r="1147" spans="15:15" x14ac:dyDescent="0.2">
      <c r="O1147" s="11"/>
    </row>
    <row r="1148" spans="15:15" x14ac:dyDescent="0.2">
      <c r="O1148" s="11"/>
    </row>
    <row r="1149" spans="15:15" x14ac:dyDescent="0.2">
      <c r="O1149" s="11"/>
    </row>
    <row r="1150" spans="15:15" x14ac:dyDescent="0.2">
      <c r="O1150" s="11"/>
    </row>
    <row r="1151" spans="15:15" x14ac:dyDescent="0.2">
      <c r="O1151" s="11"/>
    </row>
    <row r="1152" spans="15:15" x14ac:dyDescent="0.2">
      <c r="O1152" s="11"/>
    </row>
    <row r="1153" spans="15:15" x14ac:dyDescent="0.2">
      <c r="O1153" s="11"/>
    </row>
    <row r="1154" spans="15:15" x14ac:dyDescent="0.2">
      <c r="O1154" s="11"/>
    </row>
    <row r="1155" spans="15:15" x14ac:dyDescent="0.2">
      <c r="O1155" s="11"/>
    </row>
    <row r="1156" spans="15:15" x14ac:dyDescent="0.2">
      <c r="O1156" s="11"/>
    </row>
    <row r="1157" spans="15:15" x14ac:dyDescent="0.2">
      <c r="O1157" s="11"/>
    </row>
    <row r="1158" spans="15:15" x14ac:dyDescent="0.2">
      <c r="O1158" s="11"/>
    </row>
    <row r="1159" spans="15:15" x14ac:dyDescent="0.2">
      <c r="O1159" s="11"/>
    </row>
  </sheetData>
  <autoFilter ref="AE22:AH22" xr:uid="{EC93FB69-0A18-6642-AB76-7D7D02CF634E}"/>
  <pageMargins left="0.7" right="0.7" top="0.75" bottom="0.75" header="0.3" footer="0.3"/>
  <pageSetup orientation="portrait" horizontalDpi="0" verticalDpi="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15AA9C-7F28-F547-A4E2-A14D8FABE903}">
  <dimension ref="A1:Q38"/>
  <sheetViews>
    <sheetView zoomScale="120" zoomScaleNormal="120" workbookViewId="0">
      <selection activeCell="F12" sqref="F12"/>
    </sheetView>
  </sheetViews>
  <sheetFormatPr baseColWidth="10" defaultRowHeight="16" x14ac:dyDescent="0.2"/>
  <cols>
    <col min="1" max="1" width="16.1640625" style="76" customWidth="1"/>
    <col min="2" max="2" width="19.6640625" style="76" customWidth="1"/>
    <col min="3" max="3" width="18.6640625" style="76" customWidth="1"/>
    <col min="4" max="4" width="21.6640625" style="76" customWidth="1"/>
    <col min="5" max="5" width="16.6640625" style="76" customWidth="1"/>
    <col min="6" max="6" width="19.5" style="76" customWidth="1"/>
    <col min="7" max="8" width="10.83203125" style="76"/>
    <col min="9" max="9" width="17.6640625" style="76" customWidth="1"/>
    <col min="10" max="10" width="16.1640625" style="76" customWidth="1"/>
    <col min="11" max="16384" width="10.83203125" style="76"/>
  </cols>
  <sheetData>
    <row r="1" spans="1:17" ht="19" x14ac:dyDescent="0.25">
      <c r="A1" s="75" t="s">
        <v>257</v>
      </c>
    </row>
    <row r="4" spans="1:17" ht="30" x14ac:dyDescent="0.2">
      <c r="A4" s="77" t="s">
        <v>298</v>
      </c>
      <c r="B4" s="77" t="s">
        <v>281</v>
      </c>
      <c r="C4" s="77" t="s">
        <v>280</v>
      </c>
      <c r="D4" s="77" t="s">
        <v>242</v>
      </c>
      <c r="E4" s="77" t="s">
        <v>314</v>
      </c>
      <c r="F4" s="77" t="s">
        <v>241</v>
      </c>
      <c r="G4" s="77" t="s">
        <v>304</v>
      </c>
      <c r="H4" s="77" t="s">
        <v>16</v>
      </c>
    </row>
    <row r="5" spans="1:17" ht="30" x14ac:dyDescent="0.2">
      <c r="A5" s="78" t="s">
        <v>213</v>
      </c>
      <c r="B5" s="79" t="s">
        <v>286</v>
      </c>
      <c r="C5" s="79" t="s">
        <v>287</v>
      </c>
      <c r="D5" s="80" t="s">
        <v>261</v>
      </c>
      <c r="E5" s="80" t="s">
        <v>315</v>
      </c>
      <c r="F5" s="80" t="s">
        <v>246</v>
      </c>
      <c r="G5" s="80" t="s">
        <v>308</v>
      </c>
      <c r="H5" s="81" t="s">
        <v>247</v>
      </c>
    </row>
    <row r="6" spans="1:17" ht="45" x14ac:dyDescent="0.2">
      <c r="A6" s="78" t="s">
        <v>214</v>
      </c>
      <c r="B6" s="79" t="s">
        <v>285</v>
      </c>
      <c r="C6" s="79" t="s">
        <v>287</v>
      </c>
      <c r="D6" s="80" t="s">
        <v>243</v>
      </c>
      <c r="E6" s="80" t="s">
        <v>287</v>
      </c>
      <c r="F6" s="80" t="s">
        <v>246</v>
      </c>
      <c r="G6" s="80" t="s">
        <v>287</v>
      </c>
      <c r="H6" s="81" t="s">
        <v>244</v>
      </c>
    </row>
    <row r="7" spans="1:17" ht="90" x14ac:dyDescent="0.2">
      <c r="A7" s="78" t="s">
        <v>215</v>
      </c>
      <c r="B7" s="79" t="s">
        <v>320</v>
      </c>
      <c r="C7" s="79" t="s">
        <v>287</v>
      </c>
      <c r="D7" s="82" t="s">
        <v>248</v>
      </c>
      <c r="E7" s="82" t="s">
        <v>317</v>
      </c>
      <c r="F7" s="80" t="s">
        <v>249</v>
      </c>
      <c r="G7" s="80" t="s">
        <v>308</v>
      </c>
      <c r="H7" s="80" t="s">
        <v>378</v>
      </c>
    </row>
    <row r="8" spans="1:17" ht="45" x14ac:dyDescent="0.2">
      <c r="A8" s="78" t="s">
        <v>216</v>
      </c>
      <c r="B8" s="79" t="s">
        <v>283</v>
      </c>
      <c r="C8" s="79" t="s">
        <v>284</v>
      </c>
      <c r="D8" s="80" t="s">
        <v>250</v>
      </c>
      <c r="E8" s="80" t="s">
        <v>318</v>
      </c>
      <c r="F8" s="80" t="s">
        <v>251</v>
      </c>
      <c r="G8" s="80"/>
      <c r="H8" s="80" t="s">
        <v>245</v>
      </c>
    </row>
    <row r="9" spans="1:17" ht="180" x14ac:dyDescent="0.2">
      <c r="A9" s="78" t="s">
        <v>217</v>
      </c>
      <c r="B9" s="79" t="s">
        <v>283</v>
      </c>
      <c r="C9" s="79" t="s">
        <v>288</v>
      </c>
      <c r="D9" s="80" t="s">
        <v>252</v>
      </c>
      <c r="E9" s="80" t="s">
        <v>318</v>
      </c>
      <c r="F9" s="80" t="s">
        <v>249</v>
      </c>
      <c r="G9" s="80" t="s">
        <v>348</v>
      </c>
      <c r="H9" s="80" t="s">
        <v>343</v>
      </c>
    </row>
    <row r="10" spans="1:17" ht="75" x14ac:dyDescent="0.2">
      <c r="A10" s="78" t="s">
        <v>218</v>
      </c>
      <c r="B10" s="79" t="s">
        <v>283</v>
      </c>
      <c r="C10" s="79" t="s">
        <v>289</v>
      </c>
      <c r="D10" s="80" t="s">
        <v>339</v>
      </c>
      <c r="E10" s="80" t="s">
        <v>318</v>
      </c>
      <c r="F10" s="80" t="s">
        <v>251</v>
      </c>
      <c r="G10" s="80"/>
      <c r="H10" s="80" t="s">
        <v>340</v>
      </c>
      <c r="I10" s="83" t="s">
        <v>341</v>
      </c>
    </row>
    <row r="11" spans="1:17" ht="75" x14ac:dyDescent="0.2">
      <c r="A11" s="78" t="s">
        <v>219</v>
      </c>
      <c r="B11" s="79" t="s">
        <v>283</v>
      </c>
      <c r="C11" s="79" t="s">
        <v>290</v>
      </c>
      <c r="D11" s="80" t="s">
        <v>252</v>
      </c>
      <c r="E11" s="80" t="s">
        <v>318</v>
      </c>
      <c r="F11" s="80" t="s">
        <v>249</v>
      </c>
      <c r="G11" s="80" t="s">
        <v>346</v>
      </c>
      <c r="H11" s="80" t="s">
        <v>343</v>
      </c>
    </row>
    <row r="12" spans="1:17" ht="60" x14ac:dyDescent="0.2">
      <c r="A12" s="78" t="s">
        <v>302</v>
      </c>
      <c r="B12" s="79" t="s">
        <v>303</v>
      </c>
      <c r="C12" s="79" t="s">
        <v>287</v>
      </c>
      <c r="D12" s="80" t="s">
        <v>2</v>
      </c>
      <c r="E12" s="80" t="s">
        <v>318</v>
      </c>
      <c r="F12" s="80" t="s">
        <v>256</v>
      </c>
      <c r="G12" s="80" t="s">
        <v>305</v>
      </c>
      <c r="H12" s="80" t="s">
        <v>342</v>
      </c>
      <c r="I12" s="83" t="s">
        <v>306</v>
      </c>
      <c r="J12" s="83" t="s">
        <v>307</v>
      </c>
      <c r="Q12"/>
    </row>
    <row r="13" spans="1:17" ht="60" x14ac:dyDescent="0.2">
      <c r="A13" s="78" t="s">
        <v>220</v>
      </c>
      <c r="B13" s="79" t="s">
        <v>283</v>
      </c>
      <c r="C13" s="79" t="s">
        <v>291</v>
      </c>
      <c r="D13" s="80" t="s">
        <v>254</v>
      </c>
      <c r="E13" s="80" t="s">
        <v>318</v>
      </c>
      <c r="F13" s="80" t="s">
        <v>249</v>
      </c>
      <c r="G13" s="80" t="s">
        <v>310</v>
      </c>
      <c r="H13" s="80" t="s">
        <v>343</v>
      </c>
      <c r="Q13"/>
    </row>
    <row r="14" spans="1:17" ht="60" x14ac:dyDescent="0.2">
      <c r="A14" s="78" t="s">
        <v>221</v>
      </c>
      <c r="B14" s="79" t="s">
        <v>283</v>
      </c>
      <c r="C14" s="79" t="s">
        <v>292</v>
      </c>
      <c r="D14" s="80" t="s">
        <v>255</v>
      </c>
      <c r="E14" s="80" t="s">
        <v>318</v>
      </c>
      <c r="F14" s="80" t="s">
        <v>249</v>
      </c>
      <c r="G14" s="80" t="s">
        <v>347</v>
      </c>
      <c r="H14" s="80" t="s">
        <v>343</v>
      </c>
      <c r="Q14"/>
    </row>
    <row r="15" spans="1:17" ht="75" x14ac:dyDescent="0.2">
      <c r="A15" s="78" t="s">
        <v>222</v>
      </c>
      <c r="B15" s="79" t="s">
        <v>293</v>
      </c>
      <c r="C15" s="79" t="s">
        <v>287</v>
      </c>
      <c r="D15" s="80" t="s">
        <v>261</v>
      </c>
      <c r="E15" s="80" t="s">
        <v>319</v>
      </c>
      <c r="F15" s="80" t="s">
        <v>246</v>
      </c>
      <c r="G15" s="80" t="s">
        <v>309</v>
      </c>
      <c r="H15" s="80" t="s">
        <v>379</v>
      </c>
      <c r="Q15"/>
    </row>
    <row r="16" spans="1:17" ht="60" x14ac:dyDescent="0.2">
      <c r="A16" s="78" t="s">
        <v>223</v>
      </c>
      <c r="B16" s="79" t="s">
        <v>283</v>
      </c>
      <c r="C16" s="79" t="s">
        <v>294</v>
      </c>
      <c r="D16" s="80" t="s">
        <v>253</v>
      </c>
      <c r="E16" s="80" t="s">
        <v>318</v>
      </c>
      <c r="F16" s="80" t="s">
        <v>256</v>
      </c>
      <c r="G16" s="80" t="s">
        <v>311</v>
      </c>
      <c r="H16" s="80" t="s">
        <v>245</v>
      </c>
      <c r="Q16"/>
    </row>
    <row r="17" spans="1:17" ht="30" x14ac:dyDescent="0.2">
      <c r="A17" s="78" t="s">
        <v>224</v>
      </c>
      <c r="B17" s="79" t="s">
        <v>283</v>
      </c>
      <c r="C17" s="79" t="s">
        <v>295</v>
      </c>
      <c r="D17" s="80" t="s">
        <v>253</v>
      </c>
      <c r="E17" s="80" t="s">
        <v>318</v>
      </c>
      <c r="F17" s="80" t="s">
        <v>251</v>
      </c>
      <c r="G17" s="80"/>
      <c r="H17" s="80" t="s">
        <v>245</v>
      </c>
      <c r="Q17"/>
    </row>
    <row r="18" spans="1:17" ht="45" x14ac:dyDescent="0.2">
      <c r="A18" s="78" t="s">
        <v>225</v>
      </c>
      <c r="B18" s="79" t="s">
        <v>282</v>
      </c>
      <c r="C18" s="79" t="s">
        <v>297</v>
      </c>
      <c r="D18" s="80" t="s">
        <v>10</v>
      </c>
      <c r="E18" s="80" t="s">
        <v>357</v>
      </c>
      <c r="F18" s="80" t="s">
        <v>246</v>
      </c>
      <c r="G18" s="80" t="s">
        <v>312</v>
      </c>
      <c r="H18" s="81" t="s">
        <v>344</v>
      </c>
      <c r="Q18"/>
    </row>
    <row r="19" spans="1:17" ht="45" x14ac:dyDescent="0.2">
      <c r="A19" s="78" t="s">
        <v>226</v>
      </c>
      <c r="B19" s="79" t="s">
        <v>282</v>
      </c>
      <c r="C19" s="79" t="s">
        <v>296</v>
      </c>
      <c r="D19" s="80" t="s">
        <v>11</v>
      </c>
      <c r="E19" s="80" t="s">
        <v>357</v>
      </c>
      <c r="F19" s="80" t="s">
        <v>246</v>
      </c>
      <c r="G19" s="80" t="s">
        <v>313</v>
      </c>
      <c r="H19" s="80" t="s">
        <v>345</v>
      </c>
      <c r="Q19"/>
    </row>
    <row r="20" spans="1:17" ht="30" x14ac:dyDescent="0.2">
      <c r="A20" s="78" t="s">
        <v>279</v>
      </c>
      <c r="B20" s="79" t="s">
        <v>299</v>
      </c>
      <c r="C20" s="79" t="s">
        <v>287</v>
      </c>
      <c r="D20" s="80" t="s">
        <v>300</v>
      </c>
      <c r="E20" s="80" t="s">
        <v>316</v>
      </c>
      <c r="F20" s="80" t="s">
        <v>246</v>
      </c>
      <c r="G20" s="80" t="s">
        <v>308</v>
      </c>
      <c r="H20" s="81" t="s">
        <v>301</v>
      </c>
    </row>
    <row r="23" spans="1:17" x14ac:dyDescent="0.2">
      <c r="A23" s="78" t="s">
        <v>258</v>
      </c>
      <c r="B23" s="84" t="s">
        <v>259</v>
      </c>
    </row>
    <row r="24" spans="1:17" ht="75" x14ac:dyDescent="0.2">
      <c r="A24" s="78" t="s">
        <v>227</v>
      </c>
      <c r="B24" s="80" t="s">
        <v>260</v>
      </c>
    </row>
    <row r="25" spans="1:17" ht="135" x14ac:dyDescent="0.2">
      <c r="A25" s="78" t="s">
        <v>228</v>
      </c>
      <c r="B25" s="80" t="s">
        <v>262</v>
      </c>
    </row>
    <row r="26" spans="1:17" ht="150" x14ac:dyDescent="0.2">
      <c r="A26" s="78" t="s">
        <v>229</v>
      </c>
      <c r="B26" s="80" t="s">
        <v>263</v>
      </c>
    </row>
    <row r="27" spans="1:17" ht="135" x14ac:dyDescent="0.2">
      <c r="A27" s="78" t="s">
        <v>230</v>
      </c>
      <c r="B27" s="80" t="s">
        <v>264</v>
      </c>
    </row>
    <row r="29" spans="1:17" x14ac:dyDescent="0.2">
      <c r="A29" s="78" t="s">
        <v>321</v>
      </c>
      <c r="B29" s="78" t="s">
        <v>259</v>
      </c>
      <c r="C29" s="78" t="s">
        <v>16</v>
      </c>
    </row>
    <row r="30" spans="1:17" ht="30" x14ac:dyDescent="0.2">
      <c r="A30" s="79" t="s">
        <v>27</v>
      </c>
      <c r="B30" s="80" t="s">
        <v>323</v>
      </c>
      <c r="C30" s="79" t="s">
        <v>79</v>
      </c>
    </row>
    <row r="31" spans="1:17" ht="45" x14ac:dyDescent="0.2">
      <c r="A31" s="79" t="s">
        <v>322</v>
      </c>
      <c r="B31" s="80" t="s">
        <v>324</v>
      </c>
      <c r="C31" s="79" t="s">
        <v>79</v>
      </c>
    </row>
    <row r="32" spans="1:17" ht="105" x14ac:dyDescent="0.2">
      <c r="A32" s="79" t="s">
        <v>116</v>
      </c>
      <c r="B32" s="80" t="s">
        <v>325</v>
      </c>
      <c r="C32" s="79" t="s">
        <v>327</v>
      </c>
    </row>
    <row r="33" spans="1:16" ht="30" x14ac:dyDescent="0.2">
      <c r="A33" s="79" t="s">
        <v>18</v>
      </c>
      <c r="B33" s="80" t="s">
        <v>326</v>
      </c>
      <c r="C33" s="79" t="s">
        <v>327</v>
      </c>
    </row>
    <row r="36" spans="1:16" ht="45" x14ac:dyDescent="0.2">
      <c r="A36" s="78" t="s">
        <v>377</v>
      </c>
      <c r="B36" s="78" t="s">
        <v>82</v>
      </c>
      <c r="C36" s="78" t="s">
        <v>127</v>
      </c>
      <c r="D36" s="78" t="s">
        <v>8</v>
      </c>
      <c r="E36" s="78" t="s">
        <v>19</v>
      </c>
      <c r="F36" s="78" t="s">
        <v>1</v>
      </c>
      <c r="G36" s="78" t="s">
        <v>10</v>
      </c>
      <c r="H36" s="78" t="s">
        <v>11</v>
      </c>
      <c r="I36" s="78" t="s">
        <v>25</v>
      </c>
      <c r="J36" s="78" t="s">
        <v>7</v>
      </c>
      <c r="K36" s="78" t="s">
        <v>2</v>
      </c>
      <c r="L36" s="78" t="s">
        <v>30</v>
      </c>
      <c r="M36" s="78" t="s">
        <v>31</v>
      </c>
      <c r="N36" s="78" t="s">
        <v>122</v>
      </c>
      <c r="O36" s="78" t="s">
        <v>32</v>
      </c>
      <c r="P36" s="78" t="s">
        <v>105</v>
      </c>
    </row>
    <row r="37" spans="1:16" ht="45" x14ac:dyDescent="0.2">
      <c r="A37" s="78" t="s">
        <v>27</v>
      </c>
      <c r="B37" s="80" t="s">
        <v>79</v>
      </c>
      <c r="C37" s="80" t="s">
        <v>79</v>
      </c>
      <c r="D37" s="80" t="s">
        <v>79</v>
      </c>
      <c r="E37" s="80" t="s">
        <v>79</v>
      </c>
      <c r="F37" s="80" t="s">
        <v>79</v>
      </c>
      <c r="G37" s="80" t="s">
        <v>79</v>
      </c>
      <c r="H37" s="80" t="s">
        <v>79</v>
      </c>
      <c r="I37" s="80" t="s">
        <v>79</v>
      </c>
      <c r="J37" s="80" t="s">
        <v>79</v>
      </c>
      <c r="K37" s="80" t="s">
        <v>372</v>
      </c>
      <c r="L37" s="80" t="s">
        <v>371</v>
      </c>
      <c r="M37" s="80" t="s">
        <v>371</v>
      </c>
      <c r="N37" s="80" t="s">
        <v>373</v>
      </c>
      <c r="O37" s="80" t="s">
        <v>371</v>
      </c>
      <c r="P37" s="80" t="s">
        <v>371</v>
      </c>
    </row>
    <row r="38" spans="1:16" ht="45" x14ac:dyDescent="0.2">
      <c r="A38" s="78" t="s">
        <v>322</v>
      </c>
      <c r="B38" s="80" t="s">
        <v>374</v>
      </c>
      <c r="C38" s="80" t="s">
        <v>373</v>
      </c>
      <c r="D38" s="80" t="s">
        <v>79</v>
      </c>
      <c r="E38" s="80" t="s">
        <v>79</v>
      </c>
      <c r="F38" s="80" t="s">
        <v>79</v>
      </c>
      <c r="G38" s="80" t="s">
        <v>79</v>
      </c>
      <c r="H38" s="80" t="s">
        <v>79</v>
      </c>
      <c r="I38" s="80" t="s">
        <v>79</v>
      </c>
      <c r="J38" s="80" t="s">
        <v>79</v>
      </c>
      <c r="K38" s="80" t="s">
        <v>371</v>
      </c>
      <c r="L38" s="80" t="s">
        <v>371</v>
      </c>
      <c r="M38" s="80" t="s">
        <v>375</v>
      </c>
      <c r="N38" s="80" t="s">
        <v>376</v>
      </c>
      <c r="O38" s="80" t="s">
        <v>375</v>
      </c>
      <c r="P38" s="80" t="s">
        <v>375</v>
      </c>
    </row>
  </sheetData>
  <hyperlinks>
    <hyperlink ref="H5" r:id="rId1" xr:uid="{701D5313-11E8-C548-BD40-8BC7FDD9F692}"/>
    <hyperlink ref="H6" r:id="rId2" xr:uid="{FDA4BB18-623A-784F-AACE-CB719A3B2C1E}"/>
    <hyperlink ref="H20" r:id="rId3" xr:uid="{84A59A34-7273-C542-B3AE-4EBE6DFF889B}"/>
    <hyperlink ref="H18" r:id="rId4" display="Vollmer et al. 2020" xr:uid="{856FF58A-C833-314C-AFB0-2A612CCF6FFF}"/>
  </hyperlinks>
  <pageMargins left="0.7" right="0.7" top="0.75" bottom="0.75" header="0.3" footer="0.3"/>
  <pageSetup orientation="portrait" horizontalDpi="0" verticalDpi="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CDABD0-BD61-E246-A9E7-E92CA131EEC8}">
  <dimension ref="A1:L164"/>
  <sheetViews>
    <sheetView topLeftCell="A141" zoomScale="130" zoomScaleNormal="130" workbookViewId="0">
      <selection activeCell="H164" sqref="B147:H164"/>
    </sheetView>
  </sheetViews>
  <sheetFormatPr baseColWidth="10" defaultRowHeight="16" x14ac:dyDescent="0.2"/>
  <cols>
    <col min="1" max="1" width="15" customWidth="1"/>
    <col min="2" max="2" width="12.1640625" bestFit="1" customWidth="1"/>
    <col min="3" max="3" width="11.1640625" bestFit="1" customWidth="1"/>
    <col min="4" max="4" width="13.6640625" bestFit="1" customWidth="1"/>
    <col min="5" max="5" width="9.5" customWidth="1"/>
    <col min="6" max="6" width="10.33203125" customWidth="1"/>
    <col min="7" max="9" width="12.33203125" bestFit="1" customWidth="1"/>
    <col min="10" max="10" width="8" customWidth="1"/>
    <col min="11" max="11" width="9.1640625" customWidth="1"/>
    <col min="12" max="12" width="9.33203125" customWidth="1"/>
    <col min="13" max="13" width="8.6640625" customWidth="1"/>
    <col min="14" max="14" width="8.33203125" customWidth="1"/>
    <col min="15" max="15" width="7.5" customWidth="1"/>
  </cols>
  <sheetData>
    <row r="1" spans="1:11" ht="19" x14ac:dyDescent="0.25">
      <c r="A1" s="75" t="s">
        <v>257</v>
      </c>
    </row>
    <row r="2" spans="1:11" s="28" customFormat="1" x14ac:dyDescent="0.2">
      <c r="K2"/>
    </row>
    <row r="3" spans="1:11" s="28" customFormat="1" x14ac:dyDescent="0.2">
      <c r="A3" s="148"/>
      <c r="B3" s="199" t="s">
        <v>905</v>
      </c>
      <c r="C3" s="199"/>
      <c r="D3" s="199"/>
      <c r="E3" s="199"/>
      <c r="F3" s="199" t="s">
        <v>904</v>
      </c>
      <c r="G3" s="199"/>
      <c r="H3" s="199"/>
      <c r="I3" s="199"/>
    </row>
    <row r="4" spans="1:11" s="28" customFormat="1" ht="30" x14ac:dyDescent="0.2">
      <c r="A4" s="150" t="s">
        <v>902</v>
      </c>
      <c r="B4" s="149" t="s">
        <v>238</v>
      </c>
      <c r="C4" s="149" t="s">
        <v>228</v>
      </c>
      <c r="D4" s="149" t="s">
        <v>903</v>
      </c>
      <c r="E4" s="149" t="s">
        <v>909</v>
      </c>
      <c r="F4" s="149" t="s">
        <v>238</v>
      </c>
      <c r="G4" s="149" t="s">
        <v>228</v>
      </c>
      <c r="H4" s="149" t="s">
        <v>903</v>
      </c>
      <c r="I4" s="149" t="s">
        <v>909</v>
      </c>
    </row>
    <row r="5" spans="1:11" s="28" customFormat="1" x14ac:dyDescent="0.2">
      <c r="A5" s="151" t="s">
        <v>31</v>
      </c>
      <c r="B5" s="152" t="s">
        <v>908</v>
      </c>
      <c r="C5" s="152" t="s">
        <v>906</v>
      </c>
      <c r="D5" s="152" t="s">
        <v>907</v>
      </c>
      <c r="E5" s="152" t="s">
        <v>907</v>
      </c>
      <c r="F5" s="152" t="s">
        <v>908</v>
      </c>
      <c r="G5" s="152" t="s">
        <v>906</v>
      </c>
      <c r="H5" s="152" t="s">
        <v>906</v>
      </c>
      <c r="I5" s="152" t="s">
        <v>907</v>
      </c>
    </row>
    <row r="6" spans="1:11" s="28" customFormat="1" x14ac:dyDescent="0.2">
      <c r="A6" s="151" t="s">
        <v>575</v>
      </c>
      <c r="B6" s="153"/>
      <c r="C6" s="153"/>
      <c r="D6" s="153"/>
      <c r="E6" s="153"/>
      <c r="F6" s="153"/>
      <c r="G6" s="153"/>
      <c r="H6" s="153"/>
      <c r="I6" s="153"/>
    </row>
    <row r="7" spans="1:11" s="28" customFormat="1" x14ac:dyDescent="0.2">
      <c r="A7" s="151" t="s">
        <v>25</v>
      </c>
      <c r="B7" s="153"/>
      <c r="C7" s="152" t="s">
        <v>908</v>
      </c>
      <c r="D7" s="152" t="s">
        <v>908</v>
      </c>
      <c r="E7" s="152" t="s">
        <v>908</v>
      </c>
      <c r="F7" s="153"/>
      <c r="G7" s="153"/>
      <c r="H7" s="152" t="s">
        <v>906</v>
      </c>
      <c r="I7" s="152" t="s">
        <v>907</v>
      </c>
    </row>
    <row r="8" spans="1:11" s="28" customFormat="1" x14ac:dyDescent="0.2">
      <c r="A8" s="151" t="s">
        <v>1</v>
      </c>
      <c r="B8" s="152" t="s">
        <v>906</v>
      </c>
      <c r="C8" s="152" t="s">
        <v>907</v>
      </c>
      <c r="D8" s="152" t="s">
        <v>907</v>
      </c>
      <c r="E8" s="152" t="s">
        <v>907</v>
      </c>
      <c r="F8" s="152" t="s">
        <v>906</v>
      </c>
      <c r="G8" s="152" t="s">
        <v>907</v>
      </c>
      <c r="H8" s="152" t="s">
        <v>907</v>
      </c>
      <c r="I8" s="152" t="s">
        <v>907</v>
      </c>
    </row>
    <row r="9" spans="1:11" s="28" customFormat="1" x14ac:dyDescent="0.2">
      <c r="A9" s="151" t="s">
        <v>8</v>
      </c>
      <c r="B9" s="153"/>
      <c r="C9" s="152" t="s">
        <v>908</v>
      </c>
      <c r="D9" s="152" t="s">
        <v>908</v>
      </c>
      <c r="E9" s="152" t="s">
        <v>908</v>
      </c>
      <c r="F9" s="154"/>
      <c r="G9" s="152" t="s">
        <v>908</v>
      </c>
      <c r="H9" s="152" t="s">
        <v>906</v>
      </c>
      <c r="I9" s="152" t="s">
        <v>907</v>
      </c>
    </row>
    <row r="10" spans="1:11" s="28" customFormat="1" x14ac:dyDescent="0.2">
      <c r="A10" s="151" t="s">
        <v>19</v>
      </c>
      <c r="B10" s="153"/>
      <c r="C10" s="152" t="s">
        <v>908</v>
      </c>
      <c r="D10" s="152" t="s">
        <v>908</v>
      </c>
      <c r="E10" s="152" t="s">
        <v>908</v>
      </c>
      <c r="F10" s="154"/>
      <c r="G10" s="152" t="s">
        <v>908</v>
      </c>
      <c r="H10" s="152" t="s">
        <v>906</v>
      </c>
      <c r="I10" s="152" t="s">
        <v>907</v>
      </c>
    </row>
    <row r="11" spans="1:11" s="28" customFormat="1" x14ac:dyDescent="0.2">
      <c r="A11" s="151" t="s">
        <v>576</v>
      </c>
      <c r="B11" s="153"/>
      <c r="C11" s="153"/>
      <c r="D11" s="153"/>
      <c r="E11" s="153"/>
      <c r="F11" s="153"/>
      <c r="G11" s="153"/>
      <c r="H11" s="154"/>
      <c r="I11" s="154"/>
    </row>
    <row r="12" spans="1:11" s="28" customFormat="1" x14ac:dyDescent="0.2">
      <c r="A12" s="151" t="s">
        <v>127</v>
      </c>
      <c r="B12" s="153"/>
      <c r="C12" s="153"/>
      <c r="D12" s="153"/>
      <c r="E12" s="153"/>
      <c r="F12" s="154"/>
      <c r="G12" s="154"/>
      <c r="H12" s="154"/>
      <c r="I12" s="154"/>
    </row>
    <row r="13" spans="1:11" s="28" customFormat="1" x14ac:dyDescent="0.2">
      <c r="A13" s="151" t="s">
        <v>2</v>
      </c>
      <c r="B13" s="152" t="s">
        <v>906</v>
      </c>
      <c r="C13" s="152" t="s">
        <v>907</v>
      </c>
      <c r="D13" s="152" t="s">
        <v>907</v>
      </c>
      <c r="E13" s="152" t="s">
        <v>907</v>
      </c>
      <c r="F13" s="152" t="s">
        <v>906</v>
      </c>
      <c r="G13" s="152" t="s">
        <v>907</v>
      </c>
      <c r="H13" s="152" t="s">
        <v>907</v>
      </c>
      <c r="I13" s="152" t="s">
        <v>907</v>
      </c>
    </row>
    <row r="14" spans="1:11" s="28" customFormat="1" x14ac:dyDescent="0.2">
      <c r="A14" s="151" t="s">
        <v>122</v>
      </c>
      <c r="B14" s="152" t="s">
        <v>908</v>
      </c>
      <c r="C14" s="152" t="s">
        <v>906</v>
      </c>
      <c r="D14" s="152" t="s">
        <v>907</v>
      </c>
      <c r="E14" s="152" t="s">
        <v>907</v>
      </c>
      <c r="F14" s="152" t="s">
        <v>908</v>
      </c>
      <c r="G14" s="152" t="s">
        <v>906</v>
      </c>
      <c r="H14" s="152" t="s">
        <v>907</v>
      </c>
      <c r="I14" s="152" t="s">
        <v>907</v>
      </c>
    </row>
    <row r="15" spans="1:11" s="28" customFormat="1" x14ac:dyDescent="0.2">
      <c r="A15" s="151" t="s">
        <v>32</v>
      </c>
      <c r="B15" s="152" t="s">
        <v>908</v>
      </c>
      <c r="C15" s="152" t="s">
        <v>906</v>
      </c>
      <c r="D15" s="152" t="s">
        <v>907</v>
      </c>
      <c r="E15" s="152" t="s">
        <v>907</v>
      </c>
      <c r="F15" s="152" t="s">
        <v>908</v>
      </c>
      <c r="G15" s="152" t="s">
        <v>906</v>
      </c>
      <c r="H15" s="152" t="s">
        <v>907</v>
      </c>
      <c r="I15" s="152" t="s">
        <v>907</v>
      </c>
    </row>
    <row r="16" spans="1:11" s="28" customFormat="1" x14ac:dyDescent="0.2">
      <c r="A16" s="151" t="s">
        <v>30</v>
      </c>
      <c r="B16" s="153"/>
      <c r="C16" s="153"/>
      <c r="D16" s="153"/>
      <c r="E16" s="153"/>
      <c r="F16" s="153"/>
      <c r="G16" s="153"/>
      <c r="H16" s="153"/>
      <c r="I16" s="153"/>
    </row>
    <row r="17" spans="1:9" s="28" customFormat="1" x14ac:dyDescent="0.2">
      <c r="A17" s="151" t="s">
        <v>82</v>
      </c>
      <c r="B17" s="152" t="s">
        <v>908</v>
      </c>
      <c r="C17" s="152" t="s">
        <v>906</v>
      </c>
      <c r="D17" s="152" t="s">
        <v>907</v>
      </c>
      <c r="E17" s="152" t="s">
        <v>907</v>
      </c>
      <c r="F17" s="152" t="s">
        <v>908</v>
      </c>
      <c r="G17" s="152" t="s">
        <v>906</v>
      </c>
      <c r="H17" s="152" t="s">
        <v>907</v>
      </c>
      <c r="I17" s="152" t="s">
        <v>907</v>
      </c>
    </row>
    <row r="18" spans="1:9" s="28" customFormat="1" x14ac:dyDescent="0.2">
      <c r="A18" s="151" t="s">
        <v>10</v>
      </c>
      <c r="B18" s="153"/>
      <c r="C18" s="152" t="s">
        <v>908</v>
      </c>
      <c r="D18" s="152" t="s">
        <v>906</v>
      </c>
      <c r="E18" s="152" t="s">
        <v>906</v>
      </c>
      <c r="F18" s="153"/>
      <c r="G18" s="152" t="s">
        <v>908</v>
      </c>
      <c r="H18" s="152" t="s">
        <v>907</v>
      </c>
      <c r="I18" s="152" t="s">
        <v>907</v>
      </c>
    </row>
    <row r="19" spans="1:9" s="28" customFormat="1" x14ac:dyDescent="0.2">
      <c r="A19" s="151" t="s">
        <v>11</v>
      </c>
      <c r="B19" s="153"/>
      <c r="C19" s="152" t="s">
        <v>908</v>
      </c>
      <c r="D19" s="152" t="s">
        <v>906</v>
      </c>
      <c r="E19" s="152" t="s">
        <v>906</v>
      </c>
      <c r="F19" s="153"/>
      <c r="G19" s="152" t="s">
        <v>908</v>
      </c>
      <c r="H19" s="152" t="s">
        <v>907</v>
      </c>
      <c r="I19" s="152" t="s">
        <v>907</v>
      </c>
    </row>
    <row r="20" spans="1:9" s="28" customFormat="1" x14ac:dyDescent="0.2">
      <c r="A20" s="151" t="s">
        <v>7</v>
      </c>
      <c r="B20" s="152" t="s">
        <v>908</v>
      </c>
      <c r="C20" s="152" t="s">
        <v>906</v>
      </c>
      <c r="D20" s="152" t="s">
        <v>907</v>
      </c>
      <c r="E20" s="152" t="s">
        <v>907</v>
      </c>
      <c r="F20" s="152" t="s">
        <v>908</v>
      </c>
      <c r="G20" s="152" t="s">
        <v>906</v>
      </c>
      <c r="H20" s="152" t="s">
        <v>906</v>
      </c>
      <c r="I20" s="152" t="s">
        <v>906</v>
      </c>
    </row>
    <row r="21" spans="1:9" s="28" customFormat="1" x14ac:dyDescent="0.2">
      <c r="A21" s="151" t="s">
        <v>300</v>
      </c>
      <c r="B21" s="152" t="s">
        <v>908</v>
      </c>
      <c r="C21" s="152" t="s">
        <v>906</v>
      </c>
      <c r="D21" s="152" t="s">
        <v>907</v>
      </c>
      <c r="E21" s="152" t="s">
        <v>907</v>
      </c>
      <c r="F21" s="152" t="s">
        <v>908</v>
      </c>
      <c r="G21" s="152" t="s">
        <v>907</v>
      </c>
      <c r="H21" s="152" t="s">
        <v>907</v>
      </c>
      <c r="I21" s="152" t="s">
        <v>907</v>
      </c>
    </row>
    <row r="23" spans="1:9" x14ac:dyDescent="0.2">
      <c r="C23" s="200" t="s">
        <v>910</v>
      </c>
      <c r="D23" s="200"/>
      <c r="E23" s="200"/>
      <c r="F23" s="200" t="s">
        <v>911</v>
      </c>
      <c r="G23" s="200"/>
      <c r="H23" s="200"/>
    </row>
    <row r="24" spans="1:9" ht="51" x14ac:dyDescent="0.2">
      <c r="A24" s="146" t="s">
        <v>902</v>
      </c>
      <c r="B24" s="147" t="s">
        <v>238</v>
      </c>
      <c r="C24" s="147" t="s">
        <v>228</v>
      </c>
      <c r="D24" s="147" t="s">
        <v>903</v>
      </c>
      <c r="E24" s="147" t="s">
        <v>909</v>
      </c>
      <c r="F24" s="147" t="s">
        <v>228</v>
      </c>
      <c r="G24" s="147" t="s">
        <v>903</v>
      </c>
      <c r="H24" s="147" t="s">
        <v>909</v>
      </c>
    </row>
    <row r="25" spans="1:9" ht="17" x14ac:dyDescent="0.2">
      <c r="A25" s="155" t="s">
        <v>8</v>
      </c>
      <c r="B25" s="50">
        <v>4.6550987453616556E-2</v>
      </c>
      <c r="C25" s="50">
        <v>0.24</v>
      </c>
      <c r="D25" s="50">
        <v>0.24</v>
      </c>
      <c r="E25" s="50">
        <v>0.24</v>
      </c>
      <c r="F25" s="50">
        <v>0.56999999999999995</v>
      </c>
      <c r="G25" s="50">
        <v>0.92</v>
      </c>
      <c r="H25" s="50">
        <v>1</v>
      </c>
    </row>
    <row r="26" spans="1:9" ht="17" x14ac:dyDescent="0.2">
      <c r="A26" s="155" t="s">
        <v>19</v>
      </c>
      <c r="B26" s="50">
        <v>4.6550987453616556E-2</v>
      </c>
      <c r="C26" s="50">
        <v>0.24</v>
      </c>
      <c r="D26" s="50">
        <v>0.24</v>
      </c>
      <c r="E26" s="50">
        <v>0.24</v>
      </c>
      <c r="F26" s="50">
        <v>0.42</v>
      </c>
      <c r="G26" s="50">
        <v>0.86</v>
      </c>
      <c r="H26" s="50">
        <v>1</v>
      </c>
    </row>
    <row r="28" spans="1:9" ht="19" x14ac:dyDescent="0.25">
      <c r="A28" s="12" t="s">
        <v>913</v>
      </c>
    </row>
    <row r="29" spans="1:9" ht="19" x14ac:dyDescent="0.25">
      <c r="A29" s="12"/>
    </row>
    <row r="30" spans="1:9" x14ac:dyDescent="0.2">
      <c r="A30" s="2" t="s">
        <v>921</v>
      </c>
    </row>
    <row r="32" spans="1:9" ht="17" customHeight="1" x14ac:dyDescent="0.2">
      <c r="A32" s="157"/>
      <c r="B32" s="158" t="s">
        <v>27</v>
      </c>
      <c r="C32" s="196" t="s">
        <v>33</v>
      </c>
      <c r="D32" s="197"/>
    </row>
    <row r="33" spans="1:4" x14ac:dyDescent="0.2">
      <c r="A33" s="158" t="s">
        <v>902</v>
      </c>
      <c r="B33" s="158" t="s">
        <v>914</v>
      </c>
      <c r="C33" s="158" t="s">
        <v>915</v>
      </c>
      <c r="D33" s="158" t="s">
        <v>916</v>
      </c>
    </row>
    <row r="34" spans="1:4" x14ac:dyDescent="0.2">
      <c r="A34" s="159" t="str">
        <f>PlasticsUse!A71</f>
        <v>Polyurethane</v>
      </c>
      <c r="B34" s="160">
        <f>INDEX(PlasticsDataCompilation!$B$20:$E$36,MATCH($A34,PlasticsDataCompilation!$A$20:$A$36,0),1)*lb_to_kg*10^-3</f>
        <v>24.948013591999999</v>
      </c>
      <c r="C34" s="160">
        <f>INDEX('Import Summary'!$B$11:$B$27,MATCH('Paper Tables pt. 2'!$A34,'Import Summary'!$A$11:$A$27,0),1)</f>
        <v>8.547108597047795E-2</v>
      </c>
      <c r="D34" s="160">
        <f>INDEX('Import Summary'!$C$11:$C$27,MATCH('Paper Tables pt. 2'!$A34,'Import Summary'!$A$11:$A$27,0),1)</f>
        <v>2.6043518772831082</v>
      </c>
    </row>
    <row r="35" spans="1:4" x14ac:dyDescent="0.2">
      <c r="A35" s="159" t="str">
        <f>PlasticsUse!A72</f>
        <v>Other thermosets</v>
      </c>
      <c r="B35" s="160">
        <f>INDEX(PlasticsDataCompilation!$B$20:$E$36,MATCH($A35,PlasticsDataCompilation!$A$20:$A$36,0),1)*lb_to_kg*10^-3</f>
        <v>2.26796</v>
      </c>
      <c r="C35" s="160">
        <f>INDEX('Import Summary'!$B$11:$B$27,MATCH('Paper Tables pt. 2'!$A35,'Import Summary'!$A$11:$A$27,0),1)</f>
        <v>0</v>
      </c>
      <c r="D35" s="160">
        <f>INDEX('Import Summary'!$C$11:$C$27,MATCH('Paper Tables pt. 2'!$A35,'Import Summary'!$A$11:$A$27,0),1)</f>
        <v>0</v>
      </c>
    </row>
    <row r="36" spans="1:4" x14ac:dyDescent="0.2">
      <c r="A36" s="159" t="str">
        <f>PlasticsUse!A73</f>
        <v>LDPE</v>
      </c>
      <c r="B36" s="160">
        <f>INDEX(PlasticsDataCompilation!$B$20:$E$36,MATCH($A36,PlasticsDataCompilation!$A$20:$A$36,0),1)*lb_to_kg*10^-3</f>
        <v>2.26796</v>
      </c>
      <c r="C36" s="160">
        <f>INDEX('Import Summary'!$B$11:$B$27,MATCH('Paper Tables pt. 2'!$A36,'Import Summary'!$A$11:$A$27,0),1)</f>
        <v>0.40230880436661476</v>
      </c>
      <c r="D36" s="160">
        <f>INDEX('Import Summary'!$C$11:$C$27,MATCH('Paper Tables pt. 2'!$A36,'Import Summary'!$A$11:$A$27,0),1)</f>
        <v>0.23884387911171406</v>
      </c>
    </row>
    <row r="37" spans="1:4" x14ac:dyDescent="0.2">
      <c r="A37" s="159" t="str">
        <f>PlasticsUse!A74</f>
        <v>LLDPE</v>
      </c>
      <c r="B37" s="160">
        <f>INDEX(PlasticsDataCompilation!$B$20:$E$36,MATCH($A37,PlasticsDataCompilation!$A$20:$A$36,0),1)*lb_to_kg*10^-3</f>
        <v>2.26796</v>
      </c>
      <c r="C37" s="160">
        <f>INDEX('Import Summary'!$B$11:$B$27,MATCH('Paper Tables pt. 2'!$A37,'Import Summary'!$A$11:$A$27,0),1)</f>
        <v>4.9086156859499568E-2</v>
      </c>
      <c r="D37" s="160">
        <f>INDEX('Import Summary'!$C$11:$C$27,MATCH('Paper Tables pt. 2'!$A37,'Import Summary'!$A$11:$A$27,0),1)</f>
        <v>0.2072496563942299</v>
      </c>
    </row>
    <row r="38" spans="1:4" x14ac:dyDescent="0.2">
      <c r="A38" s="159" t="str">
        <f>PlasticsUse!A75</f>
        <v>HDPE</v>
      </c>
      <c r="B38" s="160">
        <f>INDEX(PlasticsDataCompilation!$B$20:$E$36,MATCH($A38,PlasticsDataCompilation!$A$20:$A$36,0),1)*lb_to_kg*10^-3</f>
        <v>2.26796</v>
      </c>
      <c r="C38" s="160">
        <f>INDEX('Import Summary'!$B$11:$B$27,MATCH('Paper Tables pt. 2'!$A38,'Import Summary'!$A$11:$A$27,0),1)</f>
        <v>0.9723164566521969</v>
      </c>
      <c r="D38" s="160">
        <f>INDEX('Import Summary'!$C$11:$C$27,MATCH('Paper Tables pt. 2'!$A38,'Import Summary'!$A$11:$A$27,0),1)</f>
        <v>0.28982857345133228</v>
      </c>
    </row>
    <row r="39" spans="1:4" x14ac:dyDescent="0.2">
      <c r="A39" s="159" t="str">
        <f>PlasticsUse!A76</f>
        <v>PP</v>
      </c>
      <c r="B39" s="160">
        <f>INDEX(PlasticsDataCompilation!$B$20:$E$36,MATCH($A39,PlasticsDataCompilation!$A$20:$A$36,0),1)*lb_to_kg*10^-3</f>
        <v>2.26796</v>
      </c>
      <c r="C39" s="160">
        <f>INDEX('Import Summary'!$B$11:$B$27,MATCH('Paper Tables pt. 2'!$A39,'Import Summary'!$A$11:$A$27,0),1)</f>
        <v>0.22452861547544853</v>
      </c>
      <c r="D39" s="160">
        <f>INDEX('Import Summary'!$C$11:$C$27,MATCH('Paper Tables pt. 2'!$A39,'Import Summary'!$A$11:$A$27,0),1)</f>
        <v>0.22294221787276203</v>
      </c>
    </row>
    <row r="40" spans="1:4" x14ac:dyDescent="0.2">
      <c r="A40" s="159" t="str">
        <f>PlasticsUse!A77</f>
        <v>PS</v>
      </c>
      <c r="B40" s="160">
        <f>INDEX(PlasticsDataCompilation!$B$20:$E$36,MATCH($A40,PlasticsDataCompilation!$A$20:$A$36,0),1)*lb_to_kg*10^-3</f>
        <v>2.26796</v>
      </c>
      <c r="C40" s="160">
        <f>INDEX('Import Summary'!$B$11:$B$27,MATCH('Paper Tables pt. 2'!$A40,'Import Summary'!$A$11:$A$27,0),1)</f>
        <v>5.7299410682534392E-2</v>
      </c>
      <c r="D40" s="160">
        <f>INDEX('Import Summary'!$C$11:$C$27,MATCH('Paper Tables pt. 2'!$A40,'Import Summary'!$A$11:$A$27,0),1)</f>
        <v>0.20798429606796423</v>
      </c>
    </row>
    <row r="41" spans="1:4" x14ac:dyDescent="0.2">
      <c r="A41" s="159" t="str">
        <f>PlasticsUse!A78</f>
        <v>EPS</v>
      </c>
      <c r="B41" s="160">
        <f>INDEX(PlasticsDataCompilation!$B$20:$E$36,MATCH($A41,PlasticsDataCompilation!$A$20:$A$36,0),1)*lb_to_kg*10^-3</f>
        <v>2.26796</v>
      </c>
      <c r="C41" s="160">
        <f>INDEX('Import Summary'!$B$11:$B$27,MATCH('Paper Tables pt. 2'!$A41,'Import Summary'!$A$11:$A$27,0),1)</f>
        <v>0.11982212178610264</v>
      </c>
      <c r="D41" s="160">
        <f>INDEX('Import Summary'!$C$11:$C$27,MATCH('Paper Tables pt. 2'!$A41,'Import Summary'!$A$11:$A$27,0),1)</f>
        <v>0.21357667943706077</v>
      </c>
    </row>
    <row r="42" spans="1:4" x14ac:dyDescent="0.2">
      <c r="A42" s="159" t="str">
        <f>PlasticsUse!A79</f>
        <v>PVC</v>
      </c>
      <c r="B42" s="160">
        <f>INDEX(PlasticsDataCompilation!$B$20:$E$36,MATCH($A42,PlasticsDataCompilation!$A$20:$A$36,0),1)*lb_to_kg*10^-3</f>
        <v>2.26796</v>
      </c>
      <c r="C42" s="160">
        <f>INDEX('Import Summary'!$B$11:$B$27,MATCH('Paper Tables pt. 2'!$A42,'Import Summary'!$A$11:$A$27,0),1)</f>
        <v>0.17534411630514132</v>
      </c>
      <c r="D42" s="160">
        <f>INDEX('Import Summary'!$C$11:$C$27,MATCH('Paper Tables pt. 2'!$A42,'Import Summary'!$A$11:$A$27,0),1)</f>
        <v>0.21854287929127059</v>
      </c>
    </row>
    <row r="43" spans="1:4" x14ac:dyDescent="0.2">
      <c r="A43" s="159" t="str">
        <f>PlasticsUse!A80</f>
        <v>PET</v>
      </c>
      <c r="B43" s="160">
        <f>INDEX(PlasticsDataCompilation!$B$20:$E$36,MATCH($A43,PlasticsDataCompilation!$A$20:$A$36,0),1)*lb_to_kg*10^-3</f>
        <v>2.8181818181818183</v>
      </c>
      <c r="C43" s="160">
        <f>INDEX('Import Summary'!$B$11:$B$27,MATCH('Paper Tables pt. 2'!$A43,'Import Summary'!$A$11:$A$27,0),1)</f>
        <v>0.58416185684134236</v>
      </c>
      <c r="D43" s="160">
        <f>INDEX('Import Summary'!$C$11:$C$27,MATCH('Paper Tables pt. 2'!$A43,'Import Summary'!$A$11:$A$27,0),1)</f>
        <v>0.52129765829887453</v>
      </c>
    </row>
    <row r="44" spans="1:4" x14ac:dyDescent="0.2">
      <c r="A44" s="159" t="str">
        <f>PlasticsUse!A81</f>
        <v>ABS</v>
      </c>
      <c r="B44" s="160">
        <f>INDEX(PlasticsDataCompilation!$B$20:$E$36,MATCH($A44,PlasticsDataCompilation!$A$20:$A$36,0),1)*lb_to_kg*10^-3</f>
        <v>0.90210376959999994</v>
      </c>
      <c r="C44" s="160">
        <f>INDEX('Import Summary'!$B$11:$B$27,MATCH('Paper Tables pt. 2'!$A44,'Import Summary'!$A$11:$A$27,0),1)</f>
        <v>0.10365538034556121</v>
      </c>
      <c r="D44" s="160">
        <f>INDEX('Import Summary'!$C$11:$C$27,MATCH('Paper Tables pt. 2'!$A44,'Import Summary'!$A$11:$A$27,0),1)</f>
        <v>0.23304678418693911</v>
      </c>
    </row>
    <row r="45" spans="1:4" x14ac:dyDescent="0.2">
      <c r="A45" s="159" t="str">
        <f>PlasticsUse!A82</f>
        <v>Polyester fiber</v>
      </c>
      <c r="B45" s="160">
        <f>INDEX(PlasticsDataCompilation!$B$20:$E$36,MATCH($A45,PlasticsDataCompilation!$A$20:$A$36,0),1)*lb_to_kg*10^-3</f>
        <v>1.2750000000000001</v>
      </c>
      <c r="C45" s="160">
        <f>INDEX('Import Summary'!$B$11:$B$27,MATCH('Paper Tables pt. 2'!$A45,'Import Summary'!$A$11:$A$27,0),1)</f>
        <v>0</v>
      </c>
      <c r="D45" s="160">
        <f>INDEX('Import Summary'!$C$11:$C$27,MATCH('Paper Tables pt. 2'!$A45,'Import Summary'!$A$11:$A$27,0),1)</f>
        <v>0.16305010881823365</v>
      </c>
    </row>
    <row r="46" spans="1:4" x14ac:dyDescent="0.2">
      <c r="A46" s="159" t="str">
        <f>PlasticsUse!A83</f>
        <v>Polyamide nylon</v>
      </c>
      <c r="B46" s="160">
        <f>INDEX(PlasticsDataCompilation!$B$20:$E$36,MATCH($A46,PlasticsDataCompilation!$A$20:$A$36,0),1)*lb_to_kg*10^-3</f>
        <v>0.6</v>
      </c>
      <c r="C46" s="160">
        <f>INDEX('Import Summary'!$B$11:$B$27,MATCH('Paper Tables pt. 2'!$A46,'Import Summary'!$A$11:$A$27,0),1)</f>
        <v>0.10483072062519065</v>
      </c>
      <c r="D46" s="160">
        <f>INDEX('Import Summary'!$C$11:$C$27,MATCH('Paper Tables pt. 2'!$A46,'Import Summary'!$A$11:$A$27,0),1)</f>
        <v>0</v>
      </c>
    </row>
    <row r="47" spans="1:4" x14ac:dyDescent="0.2">
      <c r="A47" s="159" t="str">
        <f>PlasticsUse!A84</f>
        <v>Polycarbonate</v>
      </c>
      <c r="B47" s="160">
        <f>INDEX(PlasticsDataCompilation!$B$20:$E$36,MATCH($A47,PlasticsDataCompilation!$A$20:$A$36,0),1)*lb_to_kg*10^-3</f>
        <v>3.9381946060800002</v>
      </c>
      <c r="C47" s="160">
        <f>INDEX('Import Summary'!$B$11:$B$27,MATCH('Paper Tables pt. 2'!$A47,'Import Summary'!$A$11:$A$27,0),1)</f>
        <v>9.5601559273964853E-2</v>
      </c>
      <c r="D47" s="160">
        <f>INDEX('Import Summary'!$C$11:$C$27,MATCH('Paper Tables pt. 2'!$A47,'Import Summary'!$A$11:$A$27,0),1)</f>
        <v>0.57505466735404798</v>
      </c>
    </row>
    <row r="48" spans="1:4" x14ac:dyDescent="0.2">
      <c r="A48" s="159" t="str">
        <f>PlasticsUse!A85</f>
        <v>Styrene butadiene rubber</v>
      </c>
      <c r="B48" s="160">
        <f>INDEX(PlasticsDataCompilation!$B$20:$E$36,MATCH($A48,PlasticsDataCompilation!$A$20:$A$36,0),1)*lb_to_kg*10^-3</f>
        <v>0.88999921348800004</v>
      </c>
      <c r="C48" s="160">
        <f>INDEX('Import Summary'!$B$11:$B$27,MATCH('Paper Tables pt. 2'!$A48,'Import Summary'!$A$11:$A$27,0),1)</f>
        <v>0</v>
      </c>
      <c r="D48" s="160">
        <f>INDEX('Import Summary'!$C$11:$C$27,MATCH('Paper Tables pt. 2'!$A48,'Import Summary'!$A$11:$A$27,0),1)</f>
        <v>0.1927674190771789</v>
      </c>
    </row>
    <row r="49" spans="1:12" x14ac:dyDescent="0.2">
      <c r="A49" s="159" t="str">
        <f>PlasticsUse!A86</f>
        <v>Other resins</v>
      </c>
      <c r="B49" s="160">
        <f>INDEX(PlasticsDataCompilation!$B$20:$E$36,MATCH($A49,PlasticsDataCompilation!$A$20:$A$36,0),1)*lb_to_kg*10^-3</f>
        <v>0</v>
      </c>
      <c r="C49" s="160">
        <f>INDEX('Import Summary'!$B$11:$B$27,MATCH('Paper Tables pt. 2'!$A49,'Import Summary'!$A$11:$A$27,0),1)</f>
        <v>2.2635924861555377</v>
      </c>
      <c r="D49" s="160">
        <f>INDEX('Import Summary'!$C$11:$C$27,MATCH('Paper Tables pt. 2'!$A49,'Import Summary'!$A$11:$A$27,0),1)</f>
        <v>0</v>
      </c>
    </row>
    <row r="50" spans="1:12" x14ac:dyDescent="0.2">
      <c r="A50" s="159" t="str">
        <f>PlasticsUse!A87</f>
        <v>Copolymers</v>
      </c>
      <c r="B50" s="160">
        <f>INDEX(PlasticsDataCompilation!$B$20:$E$36,MATCH($A50,PlasticsDataCompilation!$A$20:$A$36,0),1)*lb_to_kg*10^-3</f>
        <v>0</v>
      </c>
      <c r="C50" s="160">
        <f>INDEX('Import Summary'!$B$11:$B$27,MATCH('Paper Tables pt. 2'!$A50,'Import Summary'!$A$11:$A$27,0),1)</f>
        <v>0.98589352833803645</v>
      </c>
      <c r="D50" s="160">
        <f>INDEX('Import Summary'!$C$11:$C$27,MATCH('Paper Tables pt. 2'!$A50,'Import Summary'!$A$11:$A$27,0),1)</f>
        <v>0</v>
      </c>
    </row>
    <row r="51" spans="1:12" x14ac:dyDescent="0.2">
      <c r="A51" s="161" t="str">
        <f>PlasticsUse!A88</f>
        <v>TOTAL</v>
      </c>
      <c r="B51" s="160">
        <f>SUM(B34:B50)</f>
        <v>53.515172999349822</v>
      </c>
      <c r="C51" s="160">
        <f>SUM(C34:C50)</f>
        <v>6.2239122996776493</v>
      </c>
      <c r="D51" s="160">
        <f>SUM(D34:D50)</f>
        <v>5.8885366966447164</v>
      </c>
    </row>
    <row r="53" spans="1:12" ht="17" customHeight="1" x14ac:dyDescent="0.2">
      <c r="A53" s="157"/>
      <c r="B53" s="196" t="s">
        <v>917</v>
      </c>
      <c r="C53" s="197"/>
      <c r="D53" s="197"/>
      <c r="E53" s="197"/>
      <c r="F53" s="197"/>
      <c r="G53" s="197"/>
      <c r="H53" s="197"/>
      <c r="I53" s="197"/>
      <c r="J53" s="197"/>
      <c r="K53" s="197"/>
      <c r="L53" s="197"/>
    </row>
    <row r="54" spans="1:12" ht="49" customHeight="1" x14ac:dyDescent="0.2">
      <c r="A54" s="150" t="s">
        <v>902</v>
      </c>
      <c r="B54" s="150" t="str">
        <f>PlasticsUse!B93</f>
        <v>Building and Construction</v>
      </c>
      <c r="C54" s="150" t="str">
        <f>PlasticsUse!C93</f>
        <v>Furniture and Furnishings</v>
      </c>
      <c r="D54" s="150" t="str">
        <f>PlasticsUse!D93</f>
        <v>Transportation</v>
      </c>
      <c r="E54" s="150" t="str">
        <f>PlasticsUse!E93</f>
        <v>Industrial/Machinery</v>
      </c>
      <c r="F54" s="150" t="str">
        <f>PlasticsUse!F93</f>
        <v>Packaging</v>
      </c>
      <c r="G54" s="150" t="str">
        <f>PlasticsUse!G93</f>
        <v>Electrical/Electronic</v>
      </c>
      <c r="H54" s="150" t="str">
        <f>PlasticsUse!H93</f>
        <v>Consumer and Institutional</v>
      </c>
      <c r="I54" s="150" t="str">
        <f>PlasticsUse!I93</f>
        <v>Adhesives/Inks/Coatings</v>
      </c>
      <c r="J54" s="150" t="str">
        <f>PlasticsUse!J93</f>
        <v>Textiles, Fibers and Apparel</v>
      </c>
      <c r="K54" s="150" t="str">
        <f>PlasticsUse!K93</f>
        <v>Other End Use Markets</v>
      </c>
      <c r="L54" s="150" t="str">
        <f>PlasticsUse!L93</f>
        <v>Exports</v>
      </c>
    </row>
    <row r="55" spans="1:12" x14ac:dyDescent="0.2">
      <c r="A55" s="159" t="str">
        <f>PlasticsUse!A94</f>
        <v>Polyurethane</v>
      </c>
      <c r="B55" s="160">
        <f>INDEX(PlasticsUse!$B$94:$L$110,MATCH('Paper Tables pt. 2'!$A55,PlasticsUse!$A$48:$A$64,0),MATCH(B$54,PlasticsUse!$B$93:$L$93,0))</f>
        <v>2.2757299574526351</v>
      </c>
      <c r="C55" s="160">
        <f>INDEX(PlasticsUse!$B$94:$L$110,MATCH('Paper Tables pt. 2'!$A55,PlasticsUse!$A$48:$A$64,0),MATCH(C$54,PlasticsUse!$B$93:$L$93,0))</f>
        <v>2.5439073226674389</v>
      </c>
      <c r="D55" s="160">
        <f>INDEX(PlasticsUse!$B$94:$L$110,MATCH('Paper Tables pt. 2'!$A55,PlasticsUse!$A$48:$A$64,0),MATCH(D$54,PlasticsUse!$B$93:$L$93,0))</f>
        <v>2.8329021568909853</v>
      </c>
      <c r="E55" s="160">
        <f>INDEX(PlasticsUse!$B$94:$L$110,MATCH('Paper Tables pt. 2'!$A55,PlasticsUse!$A$48:$A$64,0),MATCH(E$54,PlasticsUse!$B$93:$L$93,0))</f>
        <v>2.2757299574526351</v>
      </c>
      <c r="F55" s="160">
        <f>INDEX(PlasticsUse!$B$94:$L$110,MATCH('Paper Tables pt. 2'!$A55,PlasticsUse!$A$48:$A$64,0),MATCH(F$54,PlasticsUse!$B$93:$L$93,0))</f>
        <v>2.7110371112747322</v>
      </c>
      <c r="G55" s="160">
        <f>INDEX(PlasticsUse!$B$94:$L$110,MATCH('Paper Tables pt. 2'!$A55,PlasticsUse!$A$48:$A$64,0),MATCH(G$54,PlasticsUse!$B$93:$L$93,0))</f>
        <v>2.9872421541313874</v>
      </c>
      <c r="H55" s="160">
        <f>INDEX(PlasticsUse!$B$94:$L$110,MATCH('Paper Tables pt. 2'!$A55,PlasticsUse!$A$48:$A$64,0),MATCH(H$54,PlasticsUse!$B$93:$L$93,0))</f>
        <v>2.5426968845002418</v>
      </c>
      <c r="I55" s="160">
        <f>INDEX(PlasticsUse!$B$94:$L$110,MATCH('Paper Tables pt. 2'!$A55,PlasticsUse!$A$48:$A$64,0),MATCH(I$54,PlasticsUse!$B$93:$L$93,0))</f>
        <v>2.2757299574526351</v>
      </c>
      <c r="J55" s="160">
        <f>INDEX(PlasticsUse!$B$94:$L$110,MATCH('Paper Tables pt. 2'!$A55,PlasticsUse!$A$48:$A$64,0),MATCH(J$54,PlasticsUse!$B$93:$L$93,0))</f>
        <v>2.640945992534133</v>
      </c>
      <c r="K55" s="160">
        <f>INDEX(PlasticsUse!$B$94:$L$110,MATCH('Paper Tables pt. 2'!$A55,PlasticsUse!$A$48:$A$64,0),MATCH(K$54,PlasticsUse!$B$93:$L$93,0))</f>
        <v>2.2757299574526351</v>
      </c>
      <c r="L55" s="160">
        <f>INDEX(PlasticsUse!$B$94:$L$110,MATCH('Paper Tables pt. 2'!$A55,PlasticsUse!$A$48:$A$64,0),MATCH(L$54,PlasticsUse!$B$93:$L$93,0))</f>
        <v>2.2757299574526351</v>
      </c>
    </row>
    <row r="56" spans="1:12" x14ac:dyDescent="0.2">
      <c r="A56" s="159" t="str">
        <f>PlasticsUse!A95</f>
        <v>Other thermosets</v>
      </c>
      <c r="B56" s="160">
        <f>INDEX(PlasticsUse!$B$94:$L$110,MATCH('Paper Tables pt. 2'!$A56,PlasticsUse!$A$48:$A$64,0),MATCH(B$54,PlasticsUse!$B$93:$L$93,0))</f>
        <v>0</v>
      </c>
      <c r="C56" s="160">
        <f>INDEX(PlasticsUse!$B$94:$L$110,MATCH('Paper Tables pt. 2'!$A56,PlasticsUse!$A$48:$A$64,0),MATCH(C$54,PlasticsUse!$B$93:$L$93,0))</f>
        <v>0</v>
      </c>
      <c r="D56" s="160">
        <f>INDEX(PlasticsUse!$B$94:$L$110,MATCH('Paper Tables pt. 2'!$A56,PlasticsUse!$A$48:$A$64,0),MATCH(D$54,PlasticsUse!$B$93:$L$93,0))</f>
        <v>0</v>
      </c>
      <c r="E56" s="160">
        <f>INDEX(PlasticsUse!$B$94:$L$110,MATCH('Paper Tables pt. 2'!$A56,PlasticsUse!$A$48:$A$64,0),MATCH(E$54,PlasticsUse!$B$93:$L$93,0))</f>
        <v>0</v>
      </c>
      <c r="F56" s="160">
        <f>INDEX(PlasticsUse!$B$94:$L$110,MATCH('Paper Tables pt. 2'!$A56,PlasticsUse!$A$48:$A$64,0),MATCH(F$54,PlasticsUse!$B$93:$L$93,0))</f>
        <v>0</v>
      </c>
      <c r="G56" s="160">
        <f>INDEX(PlasticsUse!$B$94:$L$110,MATCH('Paper Tables pt. 2'!$A56,PlasticsUse!$A$48:$A$64,0),MATCH(G$54,PlasticsUse!$B$93:$L$93,0))</f>
        <v>0</v>
      </c>
      <c r="H56" s="160">
        <f>INDEX(PlasticsUse!$B$94:$L$110,MATCH('Paper Tables pt. 2'!$A56,PlasticsUse!$A$48:$A$64,0),MATCH(H$54,PlasticsUse!$B$93:$L$93,0))</f>
        <v>0</v>
      </c>
      <c r="I56" s="160">
        <f>INDEX(PlasticsUse!$B$94:$L$110,MATCH('Paper Tables pt. 2'!$A56,PlasticsUse!$A$48:$A$64,0),MATCH(I$54,PlasticsUse!$B$93:$L$93,0))</f>
        <v>0</v>
      </c>
      <c r="J56" s="160">
        <f>INDEX(PlasticsUse!$B$94:$L$110,MATCH('Paper Tables pt. 2'!$A56,PlasticsUse!$A$48:$A$64,0),MATCH(J$54,PlasticsUse!$B$93:$L$93,0))</f>
        <v>0</v>
      </c>
      <c r="K56" s="160">
        <f>INDEX(PlasticsUse!$B$94:$L$110,MATCH('Paper Tables pt. 2'!$A56,PlasticsUse!$A$48:$A$64,0),MATCH(K$54,PlasticsUse!$B$93:$L$93,0))</f>
        <v>2.26796</v>
      </c>
      <c r="L56" s="160">
        <f>INDEX(PlasticsUse!$B$94:$L$110,MATCH('Paper Tables pt. 2'!$A56,PlasticsUse!$A$48:$A$64,0),MATCH(L$54,PlasticsUse!$B$93:$L$93,0))</f>
        <v>0</v>
      </c>
    </row>
    <row r="57" spans="1:12" x14ac:dyDescent="0.2">
      <c r="A57" s="159" t="str">
        <f>PlasticsUse!A96</f>
        <v>LDPE</v>
      </c>
      <c r="B57" s="160">
        <f>INDEX(PlasticsUse!$B$94:$L$110,MATCH('Paper Tables pt. 2'!$A57,PlasticsUse!$A$48:$A$64,0),MATCH(B$54,PlasticsUse!$B$93:$L$93,0))</f>
        <v>0.24274729590067587</v>
      </c>
      <c r="C57" s="160">
        <f>INDEX(PlasticsUse!$B$94:$L$110,MATCH('Paper Tables pt. 2'!$A57,PlasticsUse!$A$48:$A$64,0),MATCH(C$54,PlasticsUse!$B$93:$L$93,0))</f>
        <v>0.27135320760582887</v>
      </c>
      <c r="D57" s="160">
        <f>INDEX(PlasticsUse!$B$94:$L$110,MATCH('Paper Tables pt. 2'!$A57,PlasticsUse!$A$48:$A$64,0),MATCH(D$54,PlasticsUse!$B$93:$L$93,0))</f>
        <v>0.30217967465095941</v>
      </c>
      <c r="E57" s="160">
        <f>INDEX(PlasticsUse!$B$94:$L$110,MATCH('Paper Tables pt. 2'!$A57,PlasticsUse!$A$48:$A$64,0),MATCH(E$54,PlasticsUse!$B$93:$L$93,0))</f>
        <v>0.24274729590067587</v>
      </c>
      <c r="F57" s="160">
        <f>INDEX(PlasticsUse!$B$94:$L$110,MATCH('Paper Tables pt. 2'!$A57,PlasticsUse!$A$48:$A$64,0),MATCH(F$54,PlasticsUse!$B$93:$L$93,0))</f>
        <v>0.28918058827373766</v>
      </c>
      <c r="G57" s="160">
        <f>INDEX(PlasticsUse!$B$94:$L$110,MATCH('Paper Tables pt. 2'!$A57,PlasticsUse!$A$48:$A$64,0),MATCH(G$54,PlasticsUse!$B$93:$L$93,0))</f>
        <v>0.31864279535503576</v>
      </c>
      <c r="H57" s="160">
        <f>INDEX(PlasticsUse!$B$94:$L$110,MATCH('Paper Tables pt. 2'!$A57,PlasticsUse!$A$48:$A$64,0),MATCH(H$54,PlasticsUse!$B$93:$L$93,0))</f>
        <v>0.27122409272953174</v>
      </c>
      <c r="I57" s="160">
        <f>INDEX(PlasticsUse!$B$94:$L$110,MATCH('Paper Tables pt. 2'!$A57,PlasticsUse!$A$48:$A$64,0),MATCH(I$54,PlasticsUse!$B$93:$L$93,0))</f>
        <v>0.24274729590067587</v>
      </c>
      <c r="J57" s="160">
        <f>INDEX(PlasticsUse!$B$94:$L$110,MATCH('Paper Tables pt. 2'!$A57,PlasticsUse!$A$48:$A$64,0),MATCH(J$54,PlasticsUse!$B$93:$L$93,0))</f>
        <v>0</v>
      </c>
      <c r="K57" s="160">
        <f>INDEX(PlasticsUse!$B$94:$L$110,MATCH('Paper Tables pt. 2'!$A57,PlasticsUse!$A$48:$A$64,0),MATCH(K$54,PlasticsUse!$B$93:$L$93,0))</f>
        <v>0.24274729590067587</v>
      </c>
      <c r="L57" s="160">
        <f>INDEX(PlasticsUse!$B$94:$L$110,MATCH('Paper Tables pt. 2'!$A57,PlasticsUse!$A$48:$A$64,0),MATCH(L$54,PlasticsUse!$B$93:$L$93,0))</f>
        <v>0.24274729590067587</v>
      </c>
    </row>
    <row r="58" spans="1:12" x14ac:dyDescent="0.2">
      <c r="A58" s="159" t="str">
        <f>PlasticsUse!A97</f>
        <v>LLDPE</v>
      </c>
      <c r="B58" s="160">
        <f>INDEX(PlasticsUse!$B$94:$L$110,MATCH('Paper Tables pt. 2'!$A58,PlasticsUse!$A$48:$A$64,0),MATCH(B$54,PlasticsUse!$B$93:$L$93,0))</f>
        <v>0.21063672995577348</v>
      </c>
      <c r="C58" s="160">
        <f>INDEX(PlasticsUse!$B$94:$L$110,MATCH('Paper Tables pt. 2'!$A58,PlasticsUse!$A$48:$A$64,0),MATCH(C$54,PlasticsUse!$B$93:$L$93,0))</f>
        <v>0.23545865712336767</v>
      </c>
      <c r="D58" s="160">
        <f>INDEX(PlasticsUse!$B$94:$L$110,MATCH('Paper Tables pt. 2'!$A58,PlasticsUse!$A$48:$A$64,0),MATCH(D$54,PlasticsUse!$B$93:$L$93,0))</f>
        <v>0.26220740499462103</v>
      </c>
      <c r="E58" s="160">
        <f>INDEX(PlasticsUse!$B$94:$L$110,MATCH('Paper Tables pt. 2'!$A58,PlasticsUse!$A$48:$A$64,0),MATCH(E$54,PlasticsUse!$B$93:$L$93,0))</f>
        <v>0.21063672995577348</v>
      </c>
      <c r="F58" s="160">
        <f>INDEX(PlasticsUse!$B$94:$L$110,MATCH('Paper Tables pt. 2'!$A58,PlasticsUse!$A$48:$A$64,0),MATCH(F$54,PlasticsUse!$B$93:$L$93,0))</f>
        <v>0.2509278352809754</v>
      </c>
      <c r="G58" s="160">
        <f>INDEX(PlasticsUse!$B$94:$L$110,MATCH('Paper Tables pt. 2'!$A58,PlasticsUse!$A$48:$A$64,0),MATCH(G$54,PlasticsUse!$B$93:$L$93,0))</f>
        <v>0.27649278723588283</v>
      </c>
      <c r="H58" s="160">
        <f>INDEX(PlasticsUse!$B$94:$L$110,MATCH('Paper Tables pt. 2'!$A58,PlasticsUse!$A$48:$A$64,0),MATCH(H$54,PlasticsUse!$B$93:$L$93,0))</f>
        <v>0.23534662153825039</v>
      </c>
      <c r="I58" s="160">
        <f>INDEX(PlasticsUse!$B$94:$L$110,MATCH('Paper Tables pt. 2'!$A58,PlasticsUse!$A$48:$A$64,0),MATCH(I$54,PlasticsUse!$B$93:$L$93,0))</f>
        <v>0.21063672995577348</v>
      </c>
      <c r="J58" s="160">
        <f>INDEX(PlasticsUse!$B$94:$L$110,MATCH('Paper Tables pt. 2'!$A58,PlasticsUse!$A$48:$A$64,0),MATCH(J$54,PlasticsUse!$B$93:$L$93,0))</f>
        <v>0</v>
      </c>
      <c r="K58" s="160">
        <f>INDEX(PlasticsUse!$B$94:$L$110,MATCH('Paper Tables pt. 2'!$A58,PlasticsUse!$A$48:$A$64,0),MATCH(K$54,PlasticsUse!$B$93:$L$93,0))</f>
        <v>0.21063672995577348</v>
      </c>
      <c r="L58" s="160">
        <f>INDEX(PlasticsUse!$B$94:$L$110,MATCH('Paper Tables pt. 2'!$A58,PlasticsUse!$A$48:$A$64,0),MATCH(L$54,PlasticsUse!$B$93:$L$93,0))</f>
        <v>0.21063672995577348</v>
      </c>
    </row>
    <row r="59" spans="1:12" x14ac:dyDescent="0.2">
      <c r="A59" s="159" t="str">
        <f>PlasticsUse!A98</f>
        <v>HDPE</v>
      </c>
      <c r="B59" s="160">
        <f>INDEX(PlasticsUse!$B$94:$L$110,MATCH('Paper Tables pt. 2'!$A59,PlasticsUse!$A$48:$A$64,0),MATCH(B$54,PlasticsUse!$B$93:$L$93,0))</f>
        <v>0.29456523123690448</v>
      </c>
      <c r="C59" s="160">
        <f>INDEX(PlasticsUse!$B$94:$L$110,MATCH('Paper Tables pt. 2'!$A59,PlasticsUse!$A$48:$A$64,0),MATCH(C$54,PlasticsUse!$B$93:$L$93,0))</f>
        <v>0.32927749019289559</v>
      </c>
      <c r="D59" s="160">
        <f>INDEX(PlasticsUse!$B$94:$L$110,MATCH('Paper Tables pt. 2'!$A59,PlasticsUse!$A$48:$A$64,0),MATCH(D$54,PlasticsUse!$B$93:$L$93,0))</f>
        <v>0.366684314271715</v>
      </c>
      <c r="E59" s="160">
        <f>INDEX(PlasticsUse!$B$94:$L$110,MATCH('Paper Tables pt. 2'!$A59,PlasticsUse!$A$48:$A$64,0),MATCH(E$54,PlasticsUse!$B$93:$L$93,0))</f>
        <v>0.29456523123690448</v>
      </c>
      <c r="F59" s="160">
        <f>INDEX(PlasticsUse!$B$94:$L$110,MATCH('Paper Tables pt. 2'!$A59,PlasticsUse!$A$48:$A$64,0),MATCH(F$54,PlasticsUse!$B$93:$L$93,0))</f>
        <v>0.35091038414257547</v>
      </c>
      <c r="G59" s="160">
        <f>INDEX(PlasticsUse!$B$94:$L$110,MATCH('Paper Tables pt. 2'!$A59,PlasticsUse!$A$48:$A$64,0),MATCH(G$54,PlasticsUse!$B$93:$L$93,0))</f>
        <v>0.38666172715734221</v>
      </c>
      <c r="H59" s="160">
        <f>INDEX(PlasticsUse!$B$94:$L$110,MATCH('Paper Tables pt. 2'!$A59,PlasticsUse!$A$48:$A$64,0),MATCH(H$54,PlasticsUse!$B$93:$L$93,0))</f>
        <v>0.32912081387132641</v>
      </c>
      <c r="I59" s="160">
        <f>INDEX(PlasticsUse!$B$94:$L$110,MATCH('Paper Tables pt. 2'!$A59,PlasticsUse!$A$48:$A$64,0),MATCH(I$54,PlasticsUse!$B$93:$L$93,0))</f>
        <v>0.29456523123690448</v>
      </c>
      <c r="J59" s="160">
        <f>INDEX(PlasticsUse!$B$94:$L$110,MATCH('Paper Tables pt. 2'!$A59,PlasticsUse!$A$48:$A$64,0),MATCH(J$54,PlasticsUse!$B$93:$L$93,0))</f>
        <v>0</v>
      </c>
      <c r="K59" s="160">
        <f>INDEX(PlasticsUse!$B$94:$L$110,MATCH('Paper Tables pt. 2'!$A59,PlasticsUse!$A$48:$A$64,0),MATCH(K$54,PlasticsUse!$B$93:$L$93,0))</f>
        <v>0.29456523123690448</v>
      </c>
      <c r="L59" s="160">
        <f>INDEX(PlasticsUse!$B$94:$L$110,MATCH('Paper Tables pt. 2'!$A59,PlasticsUse!$A$48:$A$64,0),MATCH(L$54,PlasticsUse!$B$93:$L$93,0))</f>
        <v>0.29456523123690448</v>
      </c>
    </row>
    <row r="60" spans="1:12" x14ac:dyDescent="0.2">
      <c r="A60" s="159" t="str">
        <f>PlasticsUse!A99</f>
        <v>PP</v>
      </c>
      <c r="B60" s="160">
        <f>INDEX(PlasticsUse!$B$94:$L$110,MATCH('Paper Tables pt. 2'!$A60,PlasticsUse!$A$48:$A$64,0),MATCH(B$54,PlasticsUse!$B$93:$L$93,0))</f>
        <v>0.22658575439314271</v>
      </c>
      <c r="C60" s="160">
        <f>INDEX(PlasticsUse!$B$94:$L$110,MATCH('Paper Tables pt. 2'!$A60,PlasticsUse!$A$48:$A$64,0),MATCH(C$54,PlasticsUse!$B$93:$L$93,0))</f>
        <v>0.25328715207407843</v>
      </c>
      <c r="D60" s="160">
        <f>INDEX(PlasticsUse!$B$94:$L$110,MATCH('Paper Tables pt. 2'!$A60,PlasticsUse!$A$48:$A$64,0),MATCH(D$54,PlasticsUse!$B$93:$L$93,0))</f>
        <v>0.28206126576617996</v>
      </c>
      <c r="E60" s="160">
        <f>INDEX(PlasticsUse!$B$94:$L$110,MATCH('Paper Tables pt. 2'!$A60,PlasticsUse!$A$48:$A$64,0),MATCH(E$54,PlasticsUse!$B$93:$L$93,0))</f>
        <v>0.22658575439314271</v>
      </c>
      <c r="F60" s="160">
        <f>INDEX(PlasticsUse!$B$94:$L$110,MATCH('Paper Tables pt. 2'!$A60,PlasticsUse!$A$48:$A$64,0),MATCH(F$54,PlasticsUse!$B$93:$L$93,0))</f>
        <v>0.26992762785159086</v>
      </c>
      <c r="G60" s="160">
        <f>INDEX(PlasticsUse!$B$94:$L$110,MATCH('Paper Tables pt. 2'!$A60,PlasticsUse!$A$48:$A$64,0),MATCH(G$54,PlasticsUse!$B$93:$L$93,0))</f>
        <v>0.29742831078539544</v>
      </c>
      <c r="H60" s="160">
        <f>INDEX(PlasticsUse!$B$94:$L$110,MATCH('Paper Tables pt. 2'!$A60,PlasticsUse!$A$48:$A$64,0),MATCH(H$54,PlasticsUse!$B$93:$L$93,0))</f>
        <v>0.25316663336123091</v>
      </c>
      <c r="I60" s="160">
        <f>INDEX(PlasticsUse!$B$94:$L$110,MATCH('Paper Tables pt. 2'!$A60,PlasticsUse!$A$48:$A$64,0),MATCH(I$54,PlasticsUse!$B$93:$L$93,0))</f>
        <v>0.22658575439314271</v>
      </c>
      <c r="J60" s="160">
        <f>INDEX(PlasticsUse!$B$94:$L$110,MATCH('Paper Tables pt. 2'!$A60,PlasticsUse!$A$48:$A$64,0),MATCH(J$54,PlasticsUse!$B$93:$L$93,0))</f>
        <v>0</v>
      </c>
      <c r="K60" s="160">
        <f>INDEX(PlasticsUse!$B$94:$L$110,MATCH('Paper Tables pt. 2'!$A60,PlasticsUse!$A$48:$A$64,0),MATCH(K$54,PlasticsUse!$B$93:$L$93,0))</f>
        <v>0.22658575439314271</v>
      </c>
      <c r="L60" s="160">
        <f>INDEX(PlasticsUse!$B$94:$L$110,MATCH('Paper Tables pt. 2'!$A60,PlasticsUse!$A$48:$A$64,0),MATCH(L$54,PlasticsUse!$B$93:$L$93,0))</f>
        <v>0.22658575439314271</v>
      </c>
    </row>
    <row r="61" spans="1:12" x14ac:dyDescent="0.2">
      <c r="A61" s="159" t="str">
        <f>PlasticsUse!A100</f>
        <v>PS</v>
      </c>
      <c r="B61" s="160">
        <f>INDEX(PlasticsUse!$B$94:$L$110,MATCH('Paper Tables pt. 2'!$A61,PlasticsUse!$A$48:$A$64,0),MATCH(B$54,PlasticsUse!$B$93:$L$93,0))</f>
        <v>0.21138337581885186</v>
      </c>
      <c r="C61" s="160">
        <f>INDEX(PlasticsUse!$B$94:$L$110,MATCH('Paper Tables pt. 2'!$A61,PlasticsUse!$A$48:$A$64,0),MATCH(C$54,PlasticsUse!$B$93:$L$93,0))</f>
        <v>0.23629328948926162</v>
      </c>
      <c r="D61" s="160">
        <f>INDEX(PlasticsUse!$B$94:$L$110,MATCH('Paper Tables pt. 2'!$A61,PlasticsUse!$A$48:$A$64,0),MATCH(D$54,PlasticsUse!$B$93:$L$93,0))</f>
        <v>0.26313685388156899</v>
      </c>
      <c r="E61" s="160">
        <f>INDEX(PlasticsUse!$B$94:$L$110,MATCH('Paper Tables pt. 2'!$A61,PlasticsUse!$A$48:$A$64,0),MATCH(E$54,PlasticsUse!$B$93:$L$93,0))</f>
        <v>0.21138337581885186</v>
      </c>
      <c r="F61" s="160">
        <f>INDEX(PlasticsUse!$B$94:$L$110,MATCH('Paper Tables pt. 2'!$A61,PlasticsUse!$A$48:$A$64,0),MATCH(F$54,PlasticsUse!$B$93:$L$93,0))</f>
        <v>0.25181730137828473</v>
      </c>
      <c r="G61" s="160">
        <f>INDEX(PlasticsUse!$B$94:$L$110,MATCH('Paper Tables pt. 2'!$A61,PlasticsUse!$A$48:$A$64,0),MATCH(G$54,PlasticsUse!$B$93:$L$93,0))</f>
        <v>0.27747287364248452</v>
      </c>
      <c r="H61" s="160">
        <f>INDEX(PlasticsUse!$B$94:$L$110,MATCH('Paper Tables pt. 2'!$A61,PlasticsUse!$A$48:$A$64,0),MATCH(H$54,PlasticsUse!$B$93:$L$93,0))</f>
        <v>0.2361808567706237</v>
      </c>
      <c r="I61" s="160">
        <f>INDEX(PlasticsUse!$B$94:$L$110,MATCH('Paper Tables pt. 2'!$A61,PlasticsUse!$A$48:$A$64,0),MATCH(I$54,PlasticsUse!$B$93:$L$93,0))</f>
        <v>0.21138337581885186</v>
      </c>
      <c r="J61" s="160">
        <f>INDEX(PlasticsUse!$B$94:$L$110,MATCH('Paper Tables pt. 2'!$A61,PlasticsUse!$A$48:$A$64,0),MATCH(J$54,PlasticsUse!$B$93:$L$93,0))</f>
        <v>0</v>
      </c>
      <c r="K61" s="160">
        <f>INDEX(PlasticsUse!$B$94:$L$110,MATCH('Paper Tables pt. 2'!$A61,PlasticsUse!$A$48:$A$64,0),MATCH(K$54,PlasticsUse!$B$93:$L$93,0))</f>
        <v>0.21138337581885186</v>
      </c>
      <c r="L61" s="160">
        <f>INDEX(PlasticsUse!$B$94:$L$110,MATCH('Paper Tables pt. 2'!$A61,PlasticsUse!$A$48:$A$64,0),MATCH(L$54,PlasticsUse!$B$93:$L$93,0))</f>
        <v>0.21138337581885186</v>
      </c>
    </row>
    <row r="62" spans="1:12" x14ac:dyDescent="0.2">
      <c r="A62" s="159" t="str">
        <f>PlasticsUse!A101</f>
        <v>EPS</v>
      </c>
      <c r="B62" s="160">
        <f>INDEX(PlasticsUse!$B$94:$L$110,MATCH('Paper Tables pt. 2'!$A62,PlasticsUse!$A$48:$A$64,0),MATCH(B$54,PlasticsUse!$B$93:$L$93,0))</f>
        <v>0.21706715530500378</v>
      </c>
      <c r="C62" s="160">
        <f>INDEX(PlasticsUse!$B$94:$L$110,MATCH('Paper Tables pt. 2'!$A62,PlasticsUse!$A$48:$A$64,0),MATCH(C$54,PlasticsUse!$B$93:$L$93,0))</f>
        <v>0.24264685890460372</v>
      </c>
      <c r="D62" s="160">
        <f>INDEX(PlasticsUse!$B$94:$L$110,MATCH('Paper Tables pt. 2'!$A62,PlasticsUse!$A$48:$A$64,0),MATCH(D$54,PlasticsUse!$B$93:$L$93,0))</f>
        <v>0.27021220617144964</v>
      </c>
      <c r="E62" s="160">
        <f>INDEX(PlasticsUse!$B$94:$L$110,MATCH('Paper Tables pt. 2'!$A62,PlasticsUse!$A$48:$A$64,0),MATCH(E$54,PlasticsUse!$B$93:$L$93,0))</f>
        <v>0.21706715530500378</v>
      </c>
      <c r="F62" s="160">
        <f>INDEX(PlasticsUse!$B$94:$L$110,MATCH('Paper Tables pt. 2'!$A62,PlasticsUse!$A$48:$A$64,0),MATCH(F$54,PlasticsUse!$B$93:$L$93,0))</f>
        <v>0.25858828800997985</v>
      </c>
      <c r="G62" s="160">
        <f>INDEX(PlasticsUse!$B$94:$L$110,MATCH('Paper Tables pt. 2'!$A62,PlasticsUse!$A$48:$A$64,0),MATCH(G$54,PlasticsUse!$B$93:$L$93,0))</f>
        <v>0.28493369983595151</v>
      </c>
      <c r="H62" s="160">
        <f>INDEX(PlasticsUse!$B$94:$L$110,MATCH('Paper Tables pt. 2'!$A62,PlasticsUse!$A$48:$A$64,0),MATCH(H$54,PlasticsUse!$B$93:$L$93,0))</f>
        <v>0.24253140304009496</v>
      </c>
      <c r="I62" s="160">
        <f>INDEX(PlasticsUse!$B$94:$L$110,MATCH('Paper Tables pt. 2'!$A62,PlasticsUse!$A$48:$A$64,0),MATCH(I$54,PlasticsUse!$B$93:$L$93,0))</f>
        <v>0.21706715530500378</v>
      </c>
      <c r="J62" s="160">
        <f>INDEX(PlasticsUse!$B$94:$L$110,MATCH('Paper Tables pt. 2'!$A62,PlasticsUse!$A$48:$A$64,0),MATCH(J$54,PlasticsUse!$B$93:$L$93,0))</f>
        <v>0</v>
      </c>
      <c r="K62" s="160">
        <f>INDEX(PlasticsUse!$B$94:$L$110,MATCH('Paper Tables pt. 2'!$A62,PlasticsUse!$A$48:$A$64,0),MATCH(K$54,PlasticsUse!$B$93:$L$93,0))</f>
        <v>0.21706715530500378</v>
      </c>
      <c r="L62" s="160">
        <f>INDEX(PlasticsUse!$B$94:$L$110,MATCH('Paper Tables pt. 2'!$A62,PlasticsUse!$A$48:$A$64,0),MATCH(L$54,PlasticsUse!$B$93:$L$93,0))</f>
        <v>0.21706715530500378</v>
      </c>
    </row>
    <row r="63" spans="1:12" x14ac:dyDescent="0.2">
      <c r="A63" s="159" t="str">
        <f>PlasticsUse!A102</f>
        <v>PVC</v>
      </c>
      <c r="B63" s="160">
        <f>INDEX(PlasticsUse!$B$94:$L$110,MATCH('Paper Tables pt. 2'!$A63,PlasticsUse!$A$48:$A$64,0),MATCH(B$54,PlasticsUse!$B$93:$L$93,0))</f>
        <v>0.2221145175819659</v>
      </c>
      <c r="C63" s="160">
        <f>INDEX(PlasticsUse!$B$94:$L$110,MATCH('Paper Tables pt. 2'!$A63,PlasticsUse!$A$48:$A$64,0),MATCH(C$54,PlasticsUse!$B$93:$L$93,0))</f>
        <v>0.24828901421150662</v>
      </c>
      <c r="D63" s="160">
        <f>INDEX(PlasticsUse!$B$94:$L$110,MATCH('Paper Tables pt. 2'!$A63,PlasticsUse!$A$48:$A$64,0),MATCH(D$54,PlasticsUse!$B$93:$L$93,0))</f>
        <v>0.27649532576311753</v>
      </c>
      <c r="E63" s="160">
        <f>INDEX(PlasticsUse!$B$94:$L$110,MATCH('Paper Tables pt. 2'!$A63,PlasticsUse!$A$48:$A$64,0),MATCH(E$54,PlasticsUse!$B$93:$L$93,0))</f>
        <v>0.2221145175819659</v>
      </c>
      <c r="F63" s="160">
        <f>INDEX(PlasticsUse!$B$94:$L$110,MATCH('Paper Tables pt. 2'!$A63,PlasticsUse!$A$48:$A$64,0),MATCH(F$54,PlasticsUse!$B$93:$L$93,0))</f>
        <v>0.26460112200290636</v>
      </c>
      <c r="G63" s="160">
        <f>INDEX(PlasticsUse!$B$94:$L$110,MATCH('Paper Tables pt. 2'!$A63,PlasticsUse!$A$48:$A$64,0),MATCH(G$54,PlasticsUse!$B$93:$L$93,0))</f>
        <v>0.29155913151844837</v>
      </c>
      <c r="H63" s="160">
        <f>INDEX(PlasticsUse!$B$94:$L$110,MATCH('Paper Tables pt. 2'!$A63,PlasticsUse!$A$48:$A$64,0),MATCH(H$54,PlasticsUse!$B$93:$L$93,0))</f>
        <v>0.24817087370512125</v>
      </c>
      <c r="I63" s="160">
        <f>INDEX(PlasticsUse!$B$94:$L$110,MATCH('Paper Tables pt. 2'!$A63,PlasticsUse!$A$48:$A$64,0),MATCH(I$54,PlasticsUse!$B$93:$L$93,0))</f>
        <v>0.2221145175819659</v>
      </c>
      <c r="J63" s="160">
        <f>INDEX(PlasticsUse!$B$94:$L$110,MATCH('Paper Tables pt. 2'!$A63,PlasticsUse!$A$48:$A$64,0),MATCH(J$54,PlasticsUse!$B$93:$L$93,0))</f>
        <v>0</v>
      </c>
      <c r="K63" s="160">
        <f>INDEX(PlasticsUse!$B$94:$L$110,MATCH('Paper Tables pt. 2'!$A63,PlasticsUse!$A$48:$A$64,0),MATCH(K$54,PlasticsUse!$B$93:$L$93,0))</f>
        <v>0.2221145175819659</v>
      </c>
      <c r="L63" s="160">
        <f>INDEX(PlasticsUse!$B$94:$L$110,MATCH('Paper Tables pt. 2'!$A63,PlasticsUse!$A$48:$A$64,0),MATCH(L$54,PlasticsUse!$B$93:$L$93,0))</f>
        <v>0.2221145175819659</v>
      </c>
    </row>
    <row r="64" spans="1:12" x14ac:dyDescent="0.2">
      <c r="A64" s="159" t="str">
        <f>PlasticsUse!A103</f>
        <v>PET</v>
      </c>
      <c r="B64" s="160">
        <f>INDEX(PlasticsUse!$B$94:$L$110,MATCH('Paper Tables pt. 2'!$A64,PlasticsUse!$A$48:$A$64,0),MATCH(B$54,PlasticsUse!$B$93:$L$93,0))</f>
        <v>0</v>
      </c>
      <c r="C64" s="160">
        <f>INDEX(PlasticsUse!$B$94:$L$110,MATCH('Paper Tables pt. 2'!$A64,PlasticsUse!$A$48:$A$64,0),MATCH(C$54,PlasticsUse!$B$93:$L$93,0))</f>
        <v>0</v>
      </c>
      <c r="D64" s="160">
        <f>INDEX(PlasticsUse!$B$94:$L$110,MATCH('Paper Tables pt. 2'!$A64,PlasticsUse!$A$48:$A$64,0),MATCH(D$54,PlasticsUse!$B$93:$L$93,0))</f>
        <v>0</v>
      </c>
      <c r="E64" s="160">
        <f>INDEX(PlasticsUse!$B$94:$L$110,MATCH('Paper Tables pt. 2'!$A64,PlasticsUse!$A$48:$A$64,0),MATCH(E$54,PlasticsUse!$B$93:$L$93,0))</f>
        <v>0</v>
      </c>
      <c r="F64" s="160">
        <f>INDEX(PlasticsUse!$B$94:$L$110,MATCH('Paper Tables pt. 2'!$A64,PlasticsUse!$A$48:$A$64,0),MATCH(F$54,PlasticsUse!$B$93:$L$93,0))</f>
        <v>3.2465749419924261</v>
      </c>
      <c r="G64" s="160">
        <f>INDEX(PlasticsUse!$B$94:$L$110,MATCH('Paper Tables pt. 2'!$A64,PlasticsUse!$A$48:$A$64,0),MATCH(G$54,PlasticsUse!$B$93:$L$93,0))</f>
        <v>0</v>
      </c>
      <c r="H64" s="160">
        <f>INDEX(PlasticsUse!$B$94:$L$110,MATCH('Paper Tables pt. 2'!$A64,PlasticsUse!$A$48:$A$64,0),MATCH(H$54,PlasticsUse!$B$93:$L$93,0))</f>
        <v>0</v>
      </c>
      <c r="I64" s="160">
        <f>INDEX(PlasticsUse!$B$94:$L$110,MATCH('Paper Tables pt. 2'!$A64,PlasticsUse!$A$48:$A$64,0),MATCH(I$54,PlasticsUse!$B$93:$L$93,0))</f>
        <v>0</v>
      </c>
      <c r="J64" s="160">
        <f>INDEX(PlasticsUse!$B$94:$L$110,MATCH('Paper Tables pt. 2'!$A64,PlasticsUse!$A$48:$A$64,0),MATCH(J$54,PlasticsUse!$B$93:$L$93,0))</f>
        <v>0</v>
      </c>
      <c r="K64" s="160">
        <f>INDEX(PlasticsUse!$B$94:$L$110,MATCH('Paper Tables pt. 2'!$A64,PlasticsUse!$A$48:$A$64,0),MATCH(K$54,PlasticsUse!$B$93:$L$93,0))</f>
        <v>0.67706639132960889</v>
      </c>
      <c r="L64" s="160">
        <f>INDEX(PlasticsUse!$B$94:$L$110,MATCH('Paper Tables pt. 2'!$A64,PlasticsUse!$A$48:$A$64,0),MATCH(L$54,PlasticsUse!$B$93:$L$93,0))</f>
        <v>0</v>
      </c>
    </row>
    <row r="65" spans="1:12" x14ac:dyDescent="0.2">
      <c r="A65" s="159" t="str">
        <f>PlasticsUse!A104</f>
        <v>Polyester fiber</v>
      </c>
      <c r="B65" s="160">
        <f>INDEX(PlasticsUse!$B$94:$L$110,MATCH('Paper Tables pt. 2'!$A65,PlasticsUse!$A$48:$A$64,0),MATCH(B$54,PlasticsUse!$B$93:$L$93,0))</f>
        <v>0</v>
      </c>
      <c r="C65" s="160">
        <f>INDEX(PlasticsUse!$B$94:$L$110,MATCH('Paper Tables pt. 2'!$A65,PlasticsUse!$A$48:$A$64,0),MATCH(C$54,PlasticsUse!$B$93:$L$93,0))</f>
        <v>0.20115182998911224</v>
      </c>
      <c r="D65" s="160">
        <f>INDEX(PlasticsUse!$B$94:$L$110,MATCH('Paper Tables pt. 2'!$A65,PlasticsUse!$A$48:$A$64,0),MATCH(D$54,PlasticsUse!$B$93:$L$93,0))</f>
        <v>4.0629983761679575E-2</v>
      </c>
      <c r="E65" s="160">
        <f>INDEX(PlasticsUse!$B$94:$L$110,MATCH('Paper Tables pt. 2'!$A65,PlasticsUse!$A$48:$A$64,0),MATCH(E$54,PlasticsUse!$B$93:$L$93,0))</f>
        <v>0.10057591499455612</v>
      </c>
      <c r="F65" s="160">
        <f>INDEX(PlasticsUse!$B$94:$L$110,MATCH('Paper Tables pt. 2'!$A65,PlasticsUse!$A$48:$A$64,0),MATCH(F$54,PlasticsUse!$B$93:$L$93,0))</f>
        <v>0</v>
      </c>
      <c r="G65" s="160">
        <f>INDEX(PlasticsUse!$B$94:$L$110,MATCH('Paper Tables pt. 2'!$A65,PlasticsUse!$A$48:$A$64,0),MATCH(G$54,PlasticsUse!$B$93:$L$93,0))</f>
        <v>0.17294909919791226</v>
      </c>
      <c r="H65" s="160">
        <f>INDEX(PlasticsUse!$B$94:$L$110,MATCH('Paper Tables pt. 2'!$A65,PlasticsUse!$A$48:$A$64,0),MATCH(H$54,PlasticsUse!$B$93:$L$93,0))</f>
        <v>1.9467701227347266E-2</v>
      </c>
      <c r="I65" s="160">
        <f>INDEX(PlasticsUse!$B$94:$L$110,MATCH('Paper Tables pt. 2'!$A65,PlasticsUse!$A$48:$A$64,0),MATCH(I$54,PlasticsUse!$B$93:$L$93,0))</f>
        <v>0</v>
      </c>
      <c r="J65" s="160">
        <f>INDEX(PlasticsUse!$B$94:$L$110,MATCH('Paper Tables pt. 2'!$A65,PlasticsUse!$A$48:$A$64,0),MATCH(J$54,PlasticsUse!$B$93:$L$93,0))</f>
        <v>0.65374344746461477</v>
      </c>
      <c r="K65" s="160">
        <f>INDEX(PlasticsUse!$B$94:$L$110,MATCH('Paper Tables pt. 2'!$A65,PlasticsUse!$A$48:$A$64,0),MATCH(K$54,PlasticsUse!$B$93:$L$93,0))</f>
        <v>0</v>
      </c>
      <c r="L65" s="160">
        <f>INDEX(PlasticsUse!$B$94:$L$110,MATCH('Paper Tables pt. 2'!$A65,PlasticsUse!$A$48:$A$64,0),MATCH(L$54,PlasticsUse!$B$93:$L$93,0))</f>
        <v>5.028795749727806E-2</v>
      </c>
    </row>
    <row r="66" spans="1:12" x14ac:dyDescent="0.2">
      <c r="A66" s="159" t="str">
        <f>PlasticsUse!A105</f>
        <v>ABS</v>
      </c>
      <c r="B66" s="160">
        <f>INDEX(PlasticsUse!$B$94:$L$110,MATCH('Paper Tables pt. 2'!$A66,PlasticsUse!$A$48:$A$64,0),MATCH(B$54,PlasticsUse!$B$93:$L$93,0))</f>
        <v>6.3750000000000015E-2</v>
      </c>
      <c r="C66" s="160">
        <f>INDEX(PlasticsUse!$B$94:$L$110,MATCH('Paper Tables pt. 2'!$A66,PlasticsUse!$A$48:$A$64,0),MATCH(C$54,PlasticsUse!$B$93:$L$93,0))</f>
        <v>3.0049799145028103E-2</v>
      </c>
      <c r="D66" s="160">
        <f>INDEX(PlasticsUse!$B$94:$L$110,MATCH('Paper Tables pt. 2'!$A66,PlasticsUse!$A$48:$A$64,0),MATCH(D$54,PlasticsUse!$B$93:$L$93,0))</f>
        <v>0.21037500000000003</v>
      </c>
      <c r="E66" s="160">
        <f>INDEX(PlasticsUse!$B$94:$L$110,MATCH('Paper Tables pt. 2'!$A66,PlasticsUse!$A$48:$A$64,0),MATCH(E$54,PlasticsUse!$B$93:$L$93,0))</f>
        <v>0</v>
      </c>
      <c r="F66" s="160">
        <f>INDEX(PlasticsUse!$B$94:$L$110,MATCH('Paper Tables pt. 2'!$A66,PlasticsUse!$A$48:$A$64,0),MATCH(F$54,PlasticsUse!$B$93:$L$93,0))</f>
        <v>0</v>
      </c>
      <c r="G66" s="160">
        <f>INDEX(PlasticsUse!$B$94:$L$110,MATCH('Paper Tables pt. 2'!$A66,PlasticsUse!$A$48:$A$64,0),MATCH(G$54,PlasticsUse!$B$93:$L$93,0))</f>
        <v>0.70125000000000015</v>
      </c>
      <c r="H66" s="160">
        <f>INDEX(PlasticsUse!$B$94:$L$110,MATCH('Paper Tables pt. 2'!$A66,PlasticsUse!$A$48:$A$64,0),MATCH(H$54,PlasticsUse!$B$93:$L$93,0))</f>
        <v>0.21037500000000003</v>
      </c>
      <c r="I66" s="160">
        <f>INDEX(PlasticsUse!$B$94:$L$110,MATCH('Paper Tables pt. 2'!$A66,PlasticsUse!$A$48:$A$64,0),MATCH(I$54,PlasticsUse!$B$93:$L$93,0))</f>
        <v>0</v>
      </c>
      <c r="J66" s="160">
        <f>INDEX(PlasticsUse!$B$94:$L$110,MATCH('Paper Tables pt. 2'!$A66,PlasticsUse!$A$48:$A$64,0),MATCH(J$54,PlasticsUse!$B$93:$L$93,0))</f>
        <v>0.13300030967320553</v>
      </c>
      <c r="K66" s="160">
        <f>INDEX(PlasticsUse!$B$94:$L$110,MATCH('Paper Tables pt. 2'!$A66,PlasticsUse!$A$48:$A$64,0),MATCH(K$54,PlasticsUse!$B$93:$L$93,0))</f>
        <v>8.9249999999999802E-2</v>
      </c>
      <c r="L66" s="160">
        <f>INDEX(PlasticsUse!$B$94:$L$110,MATCH('Paper Tables pt. 2'!$A66,PlasticsUse!$A$48:$A$64,0),MATCH(L$54,PlasticsUse!$B$93:$L$93,0))</f>
        <v>0</v>
      </c>
    </row>
    <row r="67" spans="1:12" ht="30" x14ac:dyDescent="0.2">
      <c r="A67" s="159" t="str">
        <f>PlasticsUse!A106</f>
        <v>Polyamide nylon</v>
      </c>
      <c r="B67" s="160">
        <f>INDEX(PlasticsUse!$B$94:$L$110,MATCH('Paper Tables pt. 2'!$A67,PlasticsUse!$A$48:$A$64,0),MATCH(B$54,PlasticsUse!$B$93:$L$93,0))</f>
        <v>0</v>
      </c>
      <c r="C67" s="160">
        <f>INDEX(PlasticsUse!$B$94:$L$110,MATCH('Paper Tables pt. 2'!$A67,PlasticsUse!$A$48:$A$64,0),MATCH(C$54,PlasticsUse!$B$93:$L$93,0))</f>
        <v>0</v>
      </c>
      <c r="D67" s="160">
        <f>INDEX(PlasticsUse!$B$94:$L$110,MATCH('Paper Tables pt. 2'!$A67,PlasticsUse!$A$48:$A$64,0),MATCH(D$54,PlasticsUse!$B$93:$L$93,0))</f>
        <v>0</v>
      </c>
      <c r="E67" s="160">
        <f>INDEX(PlasticsUse!$B$94:$L$110,MATCH('Paper Tables pt. 2'!$A67,PlasticsUse!$A$48:$A$64,0),MATCH(E$54,PlasticsUse!$B$93:$L$93,0))</f>
        <v>0</v>
      </c>
      <c r="F67" s="160">
        <f>INDEX(PlasticsUse!$B$94:$L$110,MATCH('Paper Tables pt. 2'!$A67,PlasticsUse!$A$48:$A$64,0),MATCH(F$54,PlasticsUse!$B$93:$L$93,0))</f>
        <v>0</v>
      </c>
      <c r="G67" s="160">
        <f>INDEX(PlasticsUse!$B$94:$L$110,MATCH('Paper Tables pt. 2'!$A67,PlasticsUse!$A$48:$A$64,0),MATCH(G$54,PlasticsUse!$B$93:$L$93,0))</f>
        <v>0</v>
      </c>
      <c r="H67" s="160">
        <f>INDEX(PlasticsUse!$B$94:$L$110,MATCH('Paper Tables pt. 2'!$A67,PlasticsUse!$A$48:$A$64,0),MATCH(H$54,PlasticsUse!$B$93:$L$93,0))</f>
        <v>0</v>
      </c>
      <c r="I67" s="160">
        <f>INDEX(PlasticsUse!$B$94:$L$110,MATCH('Paper Tables pt. 2'!$A67,PlasticsUse!$A$48:$A$64,0),MATCH(I$54,PlasticsUse!$B$93:$L$93,0))</f>
        <v>0</v>
      </c>
      <c r="J67" s="160">
        <f>INDEX(PlasticsUse!$B$94:$L$110,MATCH('Paper Tables pt. 2'!$A67,PlasticsUse!$A$48:$A$64,0),MATCH(J$54,PlasticsUse!$B$93:$L$93,0))</f>
        <v>0</v>
      </c>
      <c r="K67" s="160">
        <f>INDEX(PlasticsUse!$B$94:$L$110,MATCH('Paper Tables pt. 2'!$A67,PlasticsUse!$A$48:$A$64,0),MATCH(K$54,PlasticsUse!$B$93:$L$93,0))</f>
        <v>0.70483072062519059</v>
      </c>
      <c r="L67" s="160">
        <f>INDEX(PlasticsUse!$B$94:$L$110,MATCH('Paper Tables pt. 2'!$A67,PlasticsUse!$A$48:$A$64,0),MATCH(L$54,PlasticsUse!$B$93:$L$93,0))</f>
        <v>0</v>
      </c>
    </row>
    <row r="68" spans="1:12" x14ac:dyDescent="0.2">
      <c r="A68" s="159" t="str">
        <f>PlasticsUse!A107</f>
        <v>Polycarbonate</v>
      </c>
      <c r="B68" s="160">
        <f>INDEX(PlasticsUse!$B$94:$L$110,MATCH('Paper Tables pt. 2'!$A68,PlasticsUse!$A$48:$A$64,0),MATCH(B$54,PlasticsUse!$B$93:$L$93,0))</f>
        <v>0.806759233070793</v>
      </c>
      <c r="C68" s="160">
        <f>INDEX(PlasticsUse!$B$94:$L$110,MATCH('Paper Tables pt. 2'!$A68,PlasticsUse!$A$48:$A$64,0),MATCH(C$54,PlasticsUse!$B$93:$L$93,0))</f>
        <v>0</v>
      </c>
      <c r="D68" s="160">
        <f>INDEX(PlasticsUse!$B$94:$L$110,MATCH('Paper Tables pt. 2'!$A68,PlasticsUse!$A$48:$A$64,0),MATCH(D$54,PlasticsUse!$B$93:$L$93,0))</f>
        <v>1.0042799515704555</v>
      </c>
      <c r="E68" s="160">
        <f>INDEX(PlasticsUse!$B$94:$L$110,MATCH('Paper Tables pt. 2'!$A68,PlasticsUse!$A$48:$A$64,0),MATCH(E$54,PlasticsUse!$B$93:$L$93,0))</f>
        <v>0</v>
      </c>
      <c r="F68" s="160">
        <f>INDEX(PlasticsUse!$B$94:$L$110,MATCH('Paper Tables pt. 2'!$A68,PlasticsUse!$A$48:$A$64,0),MATCH(F$54,PlasticsUse!$B$93:$L$93,0))</f>
        <v>0.24026952468106957</v>
      </c>
      <c r="G68" s="160">
        <f>INDEX(PlasticsUse!$B$94:$L$110,MATCH('Paper Tables pt. 2'!$A68,PlasticsUse!$A$48:$A$64,0),MATCH(G$54,PlasticsUse!$B$93:$L$93,0))</f>
        <v>1.3237429496915281</v>
      </c>
      <c r="H68" s="160">
        <f>INDEX(PlasticsUse!$B$94:$L$110,MATCH('Paper Tables pt. 2'!$A68,PlasticsUse!$A$48:$A$64,0),MATCH(H$54,PlasticsUse!$B$93:$L$93,0))</f>
        <v>0.22535013235567564</v>
      </c>
      <c r="I68" s="160">
        <f>INDEX(PlasticsUse!$B$94:$L$110,MATCH('Paper Tables pt. 2'!$A68,PlasticsUse!$A$48:$A$64,0),MATCH(I$54,PlasticsUse!$B$93:$L$93,0))</f>
        <v>0</v>
      </c>
      <c r="J68" s="160">
        <f>INDEX(PlasticsUse!$B$94:$L$110,MATCH('Paper Tables pt. 2'!$A68,PlasticsUse!$A$48:$A$64,0),MATCH(J$54,PlasticsUse!$B$93:$L$93,0))</f>
        <v>0</v>
      </c>
      <c r="K68" s="160">
        <f>INDEX(PlasticsUse!$B$94:$L$110,MATCH('Paper Tables pt. 2'!$A68,PlasticsUse!$A$48:$A$64,0),MATCH(K$54,PlasticsUse!$B$93:$L$93,0))</f>
        <v>1.0084490413384912</v>
      </c>
      <c r="L68" s="160">
        <f>INDEX(PlasticsUse!$B$94:$L$110,MATCH('Paper Tables pt. 2'!$A68,PlasticsUse!$A$48:$A$64,0),MATCH(L$54,PlasticsUse!$B$93:$L$93,0))</f>
        <v>0</v>
      </c>
    </row>
    <row r="69" spans="1:12" x14ac:dyDescent="0.2">
      <c r="A69" s="159" t="str">
        <f>PlasticsUse!A108</f>
        <v>Styrene butadiene rubber</v>
      </c>
      <c r="B69" s="160">
        <f>INDEX(PlasticsUse!$B$94:$L$110,MATCH('Paper Tables pt. 2'!$A69,PlasticsUse!$A$48:$A$64,0),MATCH(B$54,PlasticsUse!$B$93:$L$93,0))</f>
        <v>0</v>
      </c>
      <c r="C69" s="160">
        <f>INDEX(PlasticsUse!$B$94:$L$110,MATCH('Paper Tables pt. 2'!$A69,PlasticsUse!$A$48:$A$64,0),MATCH(C$54,PlasticsUse!$B$93:$L$93,0))</f>
        <v>0</v>
      </c>
      <c r="D69" s="160">
        <f>INDEX(PlasticsUse!$B$94:$L$110,MATCH('Paper Tables pt. 2'!$A69,PlasticsUse!$A$48:$A$64,0),MATCH(D$54,PlasticsUse!$B$93:$L$93,0))</f>
        <v>0.89296721287660641</v>
      </c>
      <c r="E69" s="160">
        <f>INDEX(PlasticsUse!$B$94:$L$110,MATCH('Paper Tables pt. 2'!$A69,PlasticsUse!$A$48:$A$64,0),MATCH(E$54,PlasticsUse!$B$93:$L$93,0))</f>
        <v>0</v>
      </c>
      <c r="F69" s="160">
        <f>INDEX(PlasticsUse!$B$94:$L$110,MATCH('Paper Tables pt. 2'!$A69,PlasticsUse!$A$48:$A$64,0),MATCH(F$54,PlasticsUse!$B$93:$L$93,0))</f>
        <v>0</v>
      </c>
      <c r="G69" s="160">
        <f>INDEX(PlasticsUse!$B$94:$L$110,MATCH('Paper Tables pt. 2'!$A69,PlasticsUse!$A$48:$A$64,0),MATCH(G$54,PlasticsUse!$B$93:$L$93,0))</f>
        <v>0</v>
      </c>
      <c r="H69" s="160">
        <f>INDEX(PlasticsUse!$B$94:$L$110,MATCH('Paper Tables pt. 2'!$A69,PlasticsUse!$A$48:$A$64,0),MATCH(H$54,PlasticsUse!$B$93:$L$93,0))</f>
        <v>0</v>
      </c>
      <c r="I69" s="160">
        <f>INDEX(PlasticsUse!$B$94:$L$110,MATCH('Paper Tables pt. 2'!$A69,PlasticsUse!$A$48:$A$64,0),MATCH(I$54,PlasticsUse!$B$93:$L$93,0))</f>
        <v>6.229994494416001E-2</v>
      </c>
      <c r="J69" s="160">
        <f>INDEX(PlasticsUse!$B$94:$L$110,MATCH('Paper Tables pt. 2'!$A69,PlasticsUse!$A$48:$A$64,0),MATCH(J$54,PlasticsUse!$B$93:$L$93,0))</f>
        <v>0.12393947789046057</v>
      </c>
      <c r="K69" s="160">
        <f>INDEX(PlasticsUse!$B$94:$L$110,MATCH('Paper Tables pt. 2'!$A69,PlasticsUse!$A$48:$A$64,0),MATCH(K$54,PlasticsUse!$B$93:$L$93,0))</f>
        <v>3.5599968539519046E-3</v>
      </c>
      <c r="L69" s="160">
        <f>INDEX(PlasticsUse!$B$94:$L$110,MATCH('Paper Tables pt. 2'!$A69,PlasticsUse!$A$48:$A$64,0),MATCH(L$54,PlasticsUse!$B$93:$L$93,0))</f>
        <v>0</v>
      </c>
    </row>
    <row r="70" spans="1:12" x14ac:dyDescent="0.2">
      <c r="A70" s="159" t="str">
        <f>PlasticsUse!A109</f>
        <v>Other resins</v>
      </c>
      <c r="B70" s="160">
        <f>INDEX(PlasticsUse!$B$94:$L$110,MATCH('Paper Tables pt. 2'!$A70,PlasticsUse!$A$48:$A$64,0),MATCH(B$54,PlasticsUse!$B$93:$L$93,0))</f>
        <v>0</v>
      </c>
      <c r="C70" s="160">
        <f>INDEX(PlasticsUse!$B$94:$L$110,MATCH('Paper Tables pt. 2'!$A70,PlasticsUse!$A$48:$A$64,0),MATCH(C$54,PlasticsUse!$B$93:$L$93,0))</f>
        <v>0</v>
      </c>
      <c r="D70" s="160">
        <f>INDEX(PlasticsUse!$B$94:$L$110,MATCH('Paper Tables pt. 2'!$A70,PlasticsUse!$A$48:$A$64,0),MATCH(D$54,PlasticsUse!$B$93:$L$93,0))</f>
        <v>0</v>
      </c>
      <c r="E70" s="160">
        <f>INDEX(PlasticsUse!$B$94:$L$110,MATCH('Paper Tables pt. 2'!$A70,PlasticsUse!$A$48:$A$64,0),MATCH(E$54,PlasticsUse!$B$93:$L$93,0))</f>
        <v>0</v>
      </c>
      <c r="F70" s="160">
        <f>INDEX(PlasticsUse!$B$94:$L$110,MATCH('Paper Tables pt. 2'!$A70,PlasticsUse!$A$48:$A$64,0),MATCH(F$54,PlasticsUse!$B$93:$L$93,0))</f>
        <v>0</v>
      </c>
      <c r="G70" s="160">
        <f>INDEX(PlasticsUse!$B$94:$L$110,MATCH('Paper Tables pt. 2'!$A70,PlasticsUse!$A$48:$A$64,0),MATCH(G$54,PlasticsUse!$B$93:$L$93,0))</f>
        <v>0</v>
      </c>
      <c r="H70" s="160">
        <f>INDEX(PlasticsUse!$B$94:$L$110,MATCH('Paper Tables pt. 2'!$A70,PlasticsUse!$A$48:$A$64,0),MATCH(H$54,PlasticsUse!$B$93:$L$93,0))</f>
        <v>0</v>
      </c>
      <c r="I70" s="160">
        <f>INDEX(PlasticsUse!$B$94:$L$110,MATCH('Paper Tables pt. 2'!$A70,PlasticsUse!$A$48:$A$64,0),MATCH(I$54,PlasticsUse!$B$93:$L$93,0))</f>
        <v>0</v>
      </c>
      <c r="J70" s="160">
        <f>INDEX(PlasticsUse!$B$94:$L$110,MATCH('Paper Tables pt. 2'!$A70,PlasticsUse!$A$48:$A$64,0),MATCH(J$54,PlasticsUse!$B$93:$L$93,0))</f>
        <v>0</v>
      </c>
      <c r="K70" s="160">
        <f>INDEX(PlasticsUse!$B$94:$L$110,MATCH('Paper Tables pt. 2'!$A70,PlasticsUse!$A$48:$A$64,0),MATCH(K$54,PlasticsUse!$B$93:$L$93,0))</f>
        <v>2.2635924861555377</v>
      </c>
      <c r="L70" s="160">
        <f>INDEX(PlasticsUse!$B$94:$L$110,MATCH('Paper Tables pt. 2'!$A70,PlasticsUse!$A$48:$A$64,0),MATCH(L$54,PlasticsUse!$B$93:$L$93,0))</f>
        <v>0</v>
      </c>
    </row>
    <row r="71" spans="1:12" x14ac:dyDescent="0.2">
      <c r="A71" s="159" t="str">
        <f>PlasticsUse!A110</f>
        <v>Copolymers</v>
      </c>
      <c r="B71" s="160">
        <f>INDEX(PlasticsUse!$B$94:$L$110,MATCH('Paper Tables pt. 2'!$A71,PlasticsUse!$A$48:$A$64,0),MATCH(B$54,PlasticsUse!$B$93:$L$93,0))</f>
        <v>0</v>
      </c>
      <c r="C71" s="160">
        <f>INDEX(PlasticsUse!$B$94:$L$110,MATCH('Paper Tables pt. 2'!$A71,PlasticsUse!$A$48:$A$64,0),MATCH(C$54,PlasticsUse!$B$93:$L$93,0))</f>
        <v>0</v>
      </c>
      <c r="D71" s="160">
        <f>INDEX(PlasticsUse!$B$94:$L$110,MATCH('Paper Tables pt. 2'!$A71,PlasticsUse!$A$48:$A$64,0),MATCH(D$54,PlasticsUse!$B$93:$L$93,0))</f>
        <v>0</v>
      </c>
      <c r="E71" s="160">
        <f>INDEX(PlasticsUse!$B$94:$L$110,MATCH('Paper Tables pt. 2'!$A71,PlasticsUse!$A$48:$A$64,0),MATCH(E$54,PlasticsUse!$B$93:$L$93,0))</f>
        <v>0</v>
      </c>
      <c r="F71" s="160">
        <f>INDEX(PlasticsUse!$B$94:$L$110,MATCH('Paper Tables pt. 2'!$A71,PlasticsUse!$A$48:$A$64,0),MATCH(F$54,PlasticsUse!$B$93:$L$93,0))</f>
        <v>0</v>
      </c>
      <c r="G71" s="160">
        <f>INDEX(PlasticsUse!$B$94:$L$110,MATCH('Paper Tables pt. 2'!$A71,PlasticsUse!$A$48:$A$64,0),MATCH(G$54,PlasticsUse!$B$93:$L$93,0))</f>
        <v>0</v>
      </c>
      <c r="H71" s="160">
        <f>INDEX(PlasticsUse!$B$94:$L$110,MATCH('Paper Tables pt. 2'!$A71,PlasticsUse!$A$48:$A$64,0),MATCH(H$54,PlasticsUse!$B$93:$L$93,0))</f>
        <v>0</v>
      </c>
      <c r="I71" s="160">
        <f>INDEX(PlasticsUse!$B$94:$L$110,MATCH('Paper Tables pt. 2'!$A71,PlasticsUse!$A$48:$A$64,0),MATCH(I$54,PlasticsUse!$B$93:$L$93,0))</f>
        <v>0</v>
      </c>
      <c r="J71" s="160">
        <f>INDEX(PlasticsUse!$B$94:$L$110,MATCH('Paper Tables pt. 2'!$A71,PlasticsUse!$A$48:$A$64,0),MATCH(J$54,PlasticsUse!$B$93:$L$93,0))</f>
        <v>0</v>
      </c>
      <c r="K71" s="160">
        <f>INDEX(PlasticsUse!$B$94:$L$110,MATCH('Paper Tables pt. 2'!$A71,PlasticsUse!$A$48:$A$64,0),MATCH(K$54,PlasticsUse!$B$93:$L$93,0))</f>
        <v>0.98589352833803645</v>
      </c>
      <c r="L71" s="160">
        <f>INDEX(PlasticsUse!$B$94:$L$110,MATCH('Paper Tables pt. 2'!$A71,PlasticsUse!$A$48:$A$64,0),MATCH(L$54,PlasticsUse!$B$93:$L$93,0))</f>
        <v>0</v>
      </c>
    </row>
    <row r="72" spans="1:12" x14ac:dyDescent="0.2">
      <c r="A72" s="161" t="s">
        <v>93</v>
      </c>
      <c r="B72" s="160">
        <f>SUM(B55:B71)</f>
        <v>4.771339250715747</v>
      </c>
      <c r="C72" s="160">
        <f t="shared" ref="C72:L72" si="0">SUM(C55:C71)</f>
        <v>4.5917146214031224</v>
      </c>
      <c r="D72" s="160">
        <f t="shared" si="0"/>
        <v>7.004131350599339</v>
      </c>
      <c r="E72" s="160">
        <f t="shared" si="0"/>
        <v>4.0014059326395097</v>
      </c>
      <c r="F72" s="160">
        <f t="shared" si="0"/>
        <v>8.1338347248882776</v>
      </c>
      <c r="G72" s="160">
        <f t="shared" si="0"/>
        <v>7.3183755285513676</v>
      </c>
      <c r="H72" s="160">
        <f t="shared" si="0"/>
        <v>4.8136310130994442</v>
      </c>
      <c r="I72" s="160">
        <f t="shared" si="0"/>
        <v>3.9631299625891137</v>
      </c>
      <c r="J72" s="160">
        <f t="shared" si="0"/>
        <v>3.5516292275624135</v>
      </c>
      <c r="K72" s="160">
        <f t="shared" si="0"/>
        <v>11.90143218228577</v>
      </c>
      <c r="L72" s="160">
        <f t="shared" si="0"/>
        <v>3.9511179751422314</v>
      </c>
    </row>
    <row r="74" spans="1:12" ht="17" customHeight="1" x14ac:dyDescent="0.2">
      <c r="A74" s="162"/>
      <c r="B74" s="196" t="s">
        <v>918</v>
      </c>
      <c r="C74" s="197"/>
      <c r="D74" s="198"/>
      <c r="E74" s="149" t="s">
        <v>919</v>
      </c>
    </row>
    <row r="75" spans="1:12" ht="45" x14ac:dyDescent="0.2">
      <c r="A75" s="158" t="s">
        <v>902</v>
      </c>
      <c r="B75" s="163" t="s">
        <v>330</v>
      </c>
      <c r="C75" s="163" t="str">
        <f>'CompilationCalcs - Di et al.EOL'!E6</f>
        <v>Automotive Shredding Facility</v>
      </c>
      <c r="D75" s="163" t="str">
        <f>EndOfLife!K63</f>
        <v>Scrap Film Collection</v>
      </c>
      <c r="E75" s="163" t="s">
        <v>6</v>
      </c>
    </row>
    <row r="76" spans="1:12" x14ac:dyDescent="0.2">
      <c r="A76" s="159" t="str">
        <f>PlasticsUse!A71</f>
        <v>Polyurethane</v>
      </c>
      <c r="B76" s="160">
        <f>INDEX(EndOfLife!$J$64:$J$80,MATCH('Paper Tables pt. 2'!$A76,EndOfLife!$A$64:$A$80,0),1)*INDEX(EndOfLife!$B$85:$C$101,MATCH('Paper Tables pt. 2'!$A76,EndOfLife!$A$85:$A$101,0),MATCH('Paper Tables pt. 2'!B$75,EndOfLife!$B$84:$C$84,0))</f>
        <v>18.515405383869265</v>
      </c>
      <c r="C76" s="160">
        <f>INDEX(EndOfLife!$J$64:$J$80,MATCH('Paper Tables pt. 2'!$A76,EndOfLife!$A$64:$A$80,0),1)*INDEX(EndOfLife!$B$85:$C$101,MATCH('Paper Tables pt. 2'!$A76,EndOfLife!$A$85:$A$101,0),MATCH('Paper Tables pt. 2'!C$75,EndOfLife!$B$84:$C$84,0))</f>
        <v>1.8515035083167601</v>
      </c>
      <c r="D76" s="160">
        <f>EndOfLife!K64</f>
        <v>0</v>
      </c>
      <c r="E76" s="160">
        <f>INDEX(EndOfLife!$L$64:$P$80,MATCH('Paper Tables pt. 2'!$A76,EndOfLife!$A$64:$A$80,0),MATCH('Paper Tables pt. 2'!E$75,EndOfLife!$L$63:$P$63,0))</f>
        <v>14.567052585119352</v>
      </c>
    </row>
    <row r="77" spans="1:12" x14ac:dyDescent="0.2">
      <c r="A77" s="159" t="str">
        <f>PlasticsUse!A72</f>
        <v>Other thermosets</v>
      </c>
      <c r="B77" s="160">
        <f>INDEX(EndOfLife!$J$64:$J$80,MATCH('Paper Tables pt. 2'!$A77,EndOfLife!$A$64:$A$80,0),1)*INDEX(EndOfLife!$B$85:$C$101,MATCH('Paper Tables pt. 2'!$A77,EndOfLife!$A$85:$A$101,0),MATCH('Paper Tables pt. 2'!B$75,EndOfLife!$B$84:$C$84,0))</f>
        <v>1.9004609605610838</v>
      </c>
      <c r="C77" s="160">
        <f>INDEX(EndOfLife!$J$64:$J$80,MATCH('Paper Tables pt. 2'!$A77,EndOfLife!$A$64:$A$80,0),1)*INDEX(EndOfLife!$B$85:$C$101,MATCH('Paper Tables pt. 2'!$A77,EndOfLife!$A$85:$A$101,0),MATCH('Paper Tables pt. 2'!C$75,EndOfLife!$B$84:$C$84,0))</f>
        <v>0</v>
      </c>
      <c r="D77" s="160">
        <f>EndOfLife!K65</f>
        <v>0</v>
      </c>
      <c r="E77" s="160">
        <f>INDEX(EndOfLife!$L$64:$P$80,MATCH('Paper Tables pt. 2'!$A77,EndOfLife!$A$64:$A$80,0),MATCH('Paper Tables pt. 2'!E$75,EndOfLife!$L$63:$P$63,0))</f>
        <v>1.4257842613476546</v>
      </c>
    </row>
    <row r="78" spans="1:12" x14ac:dyDescent="0.2">
      <c r="A78" s="159" t="str">
        <f>PlasticsUse!A73</f>
        <v>LDPE</v>
      </c>
      <c r="B78" s="160">
        <f>INDEX(EndOfLife!$J$64:$J$80,MATCH('Paper Tables pt. 2'!$A78,EndOfLife!$A$64:$A$80,0),1)*INDEX(EndOfLife!$B$85:$C$101,MATCH('Paper Tables pt. 2'!$A78,EndOfLife!$A$85:$A$101,0),MATCH('Paper Tables pt. 2'!B$75,EndOfLife!$B$84:$C$84,0))</f>
        <v>1.760401487502542</v>
      </c>
      <c r="C78" s="160">
        <f>INDEX(EndOfLife!$J$64:$J$80,MATCH('Paper Tables pt. 2'!$A78,EndOfLife!$A$64:$A$80,0),1)*INDEX(EndOfLife!$B$85:$C$101,MATCH('Paper Tables pt. 2'!$A78,EndOfLife!$A$85:$A$101,0),MATCH('Paper Tables pt. 2'!C$75,EndOfLife!$B$84:$C$84,0))</f>
        <v>0.17603662801769385</v>
      </c>
      <c r="D78" s="160">
        <f>EndOfLife!K66</f>
        <v>0.13873833998641666</v>
      </c>
      <c r="E78" s="160">
        <f>INDEX(EndOfLife!$L$64:$P$80,MATCH('Paper Tables pt. 2'!$A78,EndOfLife!$A$64:$A$80,0),MATCH('Paper Tables pt. 2'!E$75,EndOfLife!$L$63:$P$63,0))</f>
        <v>1.4200504566962344</v>
      </c>
    </row>
    <row r="79" spans="1:12" x14ac:dyDescent="0.2">
      <c r="A79" s="159" t="str">
        <f>PlasticsUse!A74</f>
        <v>LLDPE</v>
      </c>
      <c r="B79" s="160">
        <f>INDEX(EndOfLife!$J$64:$J$80,MATCH('Paper Tables pt. 2'!$A79,EndOfLife!$A$64:$A$80,0),1)*INDEX(EndOfLife!$B$85:$C$101,MATCH('Paper Tables pt. 2'!$A79,EndOfLife!$A$85:$A$101,0),MATCH('Paper Tables pt. 2'!B$75,EndOfLife!$B$84:$C$84,0))</f>
        <v>1.5275359149151391</v>
      </c>
      <c r="C79" s="160">
        <f>INDEX(EndOfLife!$J$64:$J$80,MATCH('Paper Tables pt. 2'!$A79,EndOfLife!$A$64:$A$80,0),1)*INDEX(EndOfLife!$B$85:$C$101,MATCH('Paper Tables pt. 2'!$A79,EndOfLife!$A$85:$A$101,0),MATCH('Paper Tables pt. 2'!C$75,EndOfLife!$B$84:$C$84,0))</f>
        <v>0.15275053648078427</v>
      </c>
      <c r="D79" s="160">
        <f>EndOfLife!K67</f>
        <v>0.12038605886752443</v>
      </c>
      <c r="E79" s="160">
        <f>INDEX(EndOfLife!$L$64:$P$80,MATCH('Paper Tables pt. 2'!$A79,EndOfLife!$A$64:$A$80,0),MATCH('Paper Tables pt. 2'!E$75,EndOfLife!$L$63:$P$63,0))</f>
        <v>1.2322064534679116</v>
      </c>
    </row>
    <row r="80" spans="1:12" x14ac:dyDescent="0.2">
      <c r="A80" s="159" t="str">
        <f>PlasticsUse!A75</f>
        <v>HDPE</v>
      </c>
      <c r="B80" s="160">
        <f>INDEX(EndOfLife!$J$64:$J$80,MATCH('Paper Tables pt. 2'!$A80,EndOfLife!$A$64:$A$80,0),1)*INDEX(EndOfLife!$B$85:$C$101,MATCH('Paper Tables pt. 2'!$A80,EndOfLife!$A$85:$A$101,0),MATCH('Paper Tables pt. 2'!B$75,EndOfLife!$B$84:$C$84,0))</f>
        <v>2.1361847484725494</v>
      </c>
      <c r="C80" s="160">
        <f>INDEX(EndOfLife!$J$64:$J$80,MATCH('Paper Tables pt. 2'!$A80,EndOfLife!$A$64:$A$80,0),1)*INDEX(EndOfLife!$B$85:$C$101,MATCH('Paper Tables pt. 2'!$A80,EndOfLife!$A$85:$A$101,0),MATCH('Paper Tables pt. 2'!C$75,EndOfLife!$B$84:$C$84,0))</f>
        <v>0.21361420256320368</v>
      </c>
      <c r="D80" s="160">
        <f>EndOfLife!K68</f>
        <v>0</v>
      </c>
      <c r="E80" s="160">
        <f>INDEX(EndOfLife!$L$64:$P$80,MATCH('Paper Tables pt. 2'!$A80,EndOfLife!$A$64:$A$80,0),MATCH('Paper Tables pt. 2'!E$75,EndOfLife!$L$63:$P$63,0))</f>
        <v>1.6294046773434572</v>
      </c>
    </row>
    <row r="81" spans="1:11" x14ac:dyDescent="0.2">
      <c r="A81" s="159" t="str">
        <f>PlasticsUse!A76</f>
        <v>PP</v>
      </c>
      <c r="B81" s="160">
        <f>INDEX(EndOfLife!$J$64:$J$80,MATCH('Paper Tables pt. 2'!$A81,EndOfLife!$A$64:$A$80,0),1)*INDEX(EndOfLife!$B$85:$C$101,MATCH('Paper Tables pt. 2'!$A81,EndOfLife!$A$85:$A$101,0),MATCH('Paper Tables pt. 2'!B$75,EndOfLife!$B$84:$C$84,0))</f>
        <v>1.643198115145156</v>
      </c>
      <c r="C81" s="160">
        <f>INDEX(EndOfLife!$J$64:$J$80,MATCH('Paper Tables pt. 2'!$A81,EndOfLife!$A$64:$A$80,0),1)*INDEX(EndOfLife!$B$85:$C$101,MATCH('Paper Tables pt. 2'!$A81,EndOfLife!$A$85:$A$101,0),MATCH('Paper Tables pt. 2'!C$75,EndOfLife!$B$84:$C$84,0))</f>
        <v>0.16431652518401191</v>
      </c>
      <c r="D81" s="160">
        <f>EndOfLife!K69</f>
        <v>0</v>
      </c>
      <c r="E81" s="160">
        <f>INDEX(EndOfLife!$L$64:$P$80,MATCH('Paper Tables pt. 2'!$A81,EndOfLife!$A$64:$A$80,0),MATCH('Paper Tables pt. 2'!E$75,EndOfLife!$L$63:$P$63,0))</f>
        <v>1.4753242234518262</v>
      </c>
    </row>
    <row r="82" spans="1:11" x14ac:dyDescent="0.2">
      <c r="A82" s="159" t="str">
        <f>PlasticsUse!A77</f>
        <v>PS</v>
      </c>
      <c r="B82" s="160">
        <f>INDEX(EndOfLife!$J$64:$J$80,MATCH('Paper Tables pt. 2'!$A82,EndOfLife!$A$64:$A$80,0),1)*INDEX(EndOfLife!$B$85:$C$101,MATCH('Paper Tables pt. 2'!$A82,EndOfLife!$A$85:$A$101,0),MATCH('Paper Tables pt. 2'!B$75,EndOfLife!$B$84:$C$84,0))</f>
        <v>1.5329505848628469</v>
      </c>
      <c r="C82" s="160">
        <f>INDEX(EndOfLife!$J$64:$J$80,MATCH('Paper Tables pt. 2'!$A82,EndOfLife!$A$64:$A$80,0),1)*INDEX(EndOfLife!$B$85:$C$101,MATCH('Paper Tables pt. 2'!$A82,EndOfLife!$A$85:$A$101,0),MATCH('Paper Tables pt. 2'!C$75,EndOfLife!$B$84:$C$84,0))</f>
        <v>0.15329199264643176</v>
      </c>
      <c r="D82" s="160">
        <f>EndOfLife!K70</f>
        <v>0</v>
      </c>
      <c r="E82" s="160">
        <f>INDEX(EndOfLife!$L$64:$P$80,MATCH('Paper Tables pt. 2'!$A82,EndOfLife!$A$64:$A$80,0),MATCH('Paper Tables pt. 2'!E$75,EndOfLife!$L$63:$P$63,0))</f>
        <v>1.3171386528375322</v>
      </c>
    </row>
    <row r="83" spans="1:11" x14ac:dyDescent="0.2">
      <c r="A83" s="159" t="str">
        <f>PlasticsUse!A78</f>
        <v>EPS</v>
      </c>
      <c r="B83" s="160">
        <f>INDEX(EndOfLife!$J$64:$J$80,MATCH('Paper Tables pt. 2'!$A83,EndOfLife!$A$64:$A$80,0),1)*INDEX(EndOfLife!$B$85:$C$101,MATCH('Paper Tables pt. 2'!$A83,EndOfLife!$A$85:$A$101,0),MATCH('Paper Tables pt. 2'!B$75,EndOfLife!$B$84:$C$84,0))</f>
        <v>1.5741693091536102</v>
      </c>
      <c r="C83" s="160">
        <f>INDEX(EndOfLife!$J$64:$J$80,MATCH('Paper Tables pt. 2'!$A83,EndOfLife!$A$64:$A$80,0),1)*INDEX(EndOfLife!$B$85:$C$101,MATCH('Paper Tables pt. 2'!$A83,EndOfLife!$A$85:$A$101,0),MATCH('Paper Tables pt. 2'!C$75,EndOfLife!$B$84:$C$84,0))</f>
        <v>0.15741378263970821</v>
      </c>
      <c r="D83" s="160">
        <f>EndOfLife!K71</f>
        <v>0</v>
      </c>
      <c r="E83" s="160">
        <f>INDEX(EndOfLife!$L$64:$P$80,MATCH('Paper Tables pt. 2'!$A83,EndOfLife!$A$64:$A$80,0),MATCH('Paper Tables pt. 2'!E$75,EndOfLife!$L$63:$P$63,0))</f>
        <v>1.3525545204591718</v>
      </c>
    </row>
    <row r="84" spans="1:11" x14ac:dyDescent="0.2">
      <c r="A84" s="159" t="str">
        <f>PlasticsUse!A79</f>
        <v>PVC</v>
      </c>
      <c r="B84" s="160">
        <f>INDEX(EndOfLife!$J$64:$J$80,MATCH('Paper Tables pt. 2'!$A84,EndOfLife!$A$64:$A$80,0),1)*INDEX(EndOfLife!$B$85:$C$101,MATCH('Paper Tables pt. 2'!$A84,EndOfLife!$A$85:$A$101,0),MATCH('Paper Tables pt. 2'!B$75,EndOfLife!$B$84:$C$84,0))</f>
        <v>1.6107727408308221</v>
      </c>
      <c r="C84" s="160">
        <f>INDEX(EndOfLife!$J$64:$J$80,MATCH('Paper Tables pt. 2'!$A84,EndOfLife!$A$64:$A$80,0),1)*INDEX(EndOfLife!$B$85:$C$101,MATCH('Paper Tables pt. 2'!$A84,EndOfLife!$A$85:$A$101,0),MATCH('Paper Tables pt. 2'!C$75,EndOfLife!$B$84:$C$84,0))</f>
        <v>0.16107405260203017</v>
      </c>
      <c r="D84" s="160">
        <f>EndOfLife!K72</f>
        <v>0</v>
      </c>
      <c r="E84" s="160">
        <f>INDEX(EndOfLife!$L$64:$P$80,MATCH('Paper Tables pt. 2'!$A84,EndOfLife!$A$64:$A$80,0),MATCH('Paper Tables pt. 2'!E$75,EndOfLife!$L$63:$P$63,0))</f>
        <v>1.4309486882021329</v>
      </c>
    </row>
    <row r="85" spans="1:11" x14ac:dyDescent="0.2">
      <c r="A85" s="159" t="str">
        <f>PlasticsUse!A80</f>
        <v>PET</v>
      </c>
      <c r="B85" s="160">
        <f>INDEX(EndOfLife!$J$64:$J$80,MATCH('Paper Tables pt. 2'!$A85,EndOfLife!$A$64:$A$80,0),1)*INDEX(EndOfLife!$B$85:$C$101,MATCH('Paper Tables pt. 2'!$A85,EndOfLife!$A$85:$A$101,0),MATCH('Paper Tables pt. 2'!B$75,EndOfLife!$B$84:$C$84,0))</f>
        <v>3.8138937580082017</v>
      </c>
      <c r="C85" s="160">
        <f>INDEX(EndOfLife!$J$64:$J$80,MATCH('Paper Tables pt. 2'!$A85,EndOfLife!$A$64:$A$80,0),1)*INDEX(EndOfLife!$B$85:$C$101,MATCH('Paper Tables pt. 2'!$A85,EndOfLife!$A$85:$A$101,0),MATCH('Paper Tables pt. 2'!C$75,EndOfLife!$B$84:$C$84,0))</f>
        <v>0</v>
      </c>
      <c r="D85" s="160">
        <f>EndOfLife!K73</f>
        <v>0</v>
      </c>
      <c r="E85" s="160">
        <f>INDEX(EndOfLife!$L$64:$P$80,MATCH('Paper Tables pt. 2'!$A85,EndOfLife!$A$64:$A$80,0),MATCH('Paper Tables pt. 2'!E$75,EndOfLife!$L$63:$P$63,0))</f>
        <v>2.525839318992035</v>
      </c>
    </row>
    <row r="86" spans="1:11" x14ac:dyDescent="0.2">
      <c r="A86" s="159" t="str">
        <f>PlasticsUse!A81</f>
        <v>ABS</v>
      </c>
      <c r="B86" s="160">
        <f>INDEX(EndOfLife!$J$64:$J$80,MATCH('Paper Tables pt. 2'!$A86,EndOfLife!$A$64:$A$80,0),1)*INDEX(EndOfLife!$B$85:$C$101,MATCH('Paper Tables pt. 2'!$A86,EndOfLife!$A$85:$A$101,0),MATCH('Paper Tables pt. 2'!B$75,EndOfLife!$B$84:$C$84,0))</f>
        <v>0.98084169246820285</v>
      </c>
      <c r="C86" s="160">
        <f>INDEX(EndOfLife!$J$64:$J$80,MATCH('Paper Tables pt. 2'!$A86,EndOfLife!$A$64:$A$80,0),1)*INDEX(EndOfLife!$B$85:$C$101,MATCH('Paper Tables pt. 2'!$A86,EndOfLife!$A$85:$A$101,0),MATCH('Paper Tables pt. 2'!C$75,EndOfLife!$B$84:$C$84,0))</f>
        <v>0</v>
      </c>
      <c r="D86" s="160">
        <f>EndOfLife!K74</f>
        <v>0</v>
      </c>
      <c r="E86" s="160">
        <f>INDEX(EndOfLife!$L$64:$P$80,MATCH('Paper Tables pt. 2'!$A86,EndOfLife!$A$64:$A$80,0),MATCH('Paper Tables pt. 2'!E$75,EndOfLife!$L$63:$P$63,0))</f>
        <v>0.69076283180579534</v>
      </c>
    </row>
    <row r="87" spans="1:11" x14ac:dyDescent="0.2">
      <c r="A87" s="159" t="str">
        <f>PlasticsUse!A82</f>
        <v>Polyester fiber</v>
      </c>
      <c r="B87" s="160">
        <f>INDEX(EndOfLife!$J$64:$J$80,MATCH('Paper Tables pt. 2'!$A87,EndOfLife!$A$64:$A$80,0),1)*INDEX(EndOfLife!$B$85:$C$101,MATCH('Paper Tables pt. 2'!$A87,EndOfLife!$A$85:$A$101,0),MATCH('Paper Tables pt. 2'!B$75,EndOfLife!$B$84:$C$84,0))</f>
        <v>0.96475221378137954</v>
      </c>
      <c r="C87" s="160">
        <f>INDEX(EndOfLife!$J$64:$J$80,MATCH('Paper Tables pt. 2'!$A87,EndOfLife!$A$64:$A$80,0),1)*INDEX(EndOfLife!$B$85:$C$101,MATCH('Paper Tables pt. 2'!$A87,EndOfLife!$A$85:$A$101,0),MATCH('Paper Tables pt. 2'!C$75,EndOfLife!$B$84:$C$84,0))</f>
        <v>0.19063965901069177</v>
      </c>
      <c r="D87" s="160">
        <f>EndOfLife!K75</f>
        <v>0</v>
      </c>
      <c r="E87" s="160">
        <f>INDEX(EndOfLife!$L$64:$P$80,MATCH('Paper Tables pt. 2'!$A87,EndOfLife!$A$64:$A$80,0),MATCH('Paper Tables pt. 2'!E$75,EndOfLife!$L$63:$P$63,0))</f>
        <v>1.0583449275972416</v>
      </c>
    </row>
    <row r="88" spans="1:11" x14ac:dyDescent="0.2">
      <c r="A88" s="159" t="str">
        <f>PlasticsUse!A83</f>
        <v>Polyamide nylon</v>
      </c>
      <c r="B88" s="160">
        <f>INDEX(EndOfLife!$J$64:$J$80,MATCH('Paper Tables pt. 2'!$A88,EndOfLife!$A$64:$A$80,0),1)*INDEX(EndOfLife!$B$85:$C$101,MATCH('Paper Tables pt. 2'!$A88,EndOfLife!$A$85:$A$101,0),MATCH('Paper Tables pt. 2'!B$75,EndOfLife!$B$84:$C$84,0))</f>
        <v>0.5906203232650975</v>
      </c>
      <c r="C88" s="160">
        <f>INDEX(EndOfLife!$J$64:$J$80,MATCH('Paper Tables pt. 2'!$A88,EndOfLife!$A$64:$A$80,0),1)*INDEX(EndOfLife!$B$85:$C$101,MATCH('Paper Tables pt. 2'!$A88,EndOfLife!$A$85:$A$101,0),MATCH('Paper Tables pt. 2'!C$75,EndOfLife!$B$84:$C$84,0))</f>
        <v>0</v>
      </c>
      <c r="D88" s="160">
        <f>EndOfLife!K76</f>
        <v>0</v>
      </c>
      <c r="E88" s="160">
        <f>INDEX(EndOfLife!$L$64:$P$80,MATCH('Paper Tables pt. 2'!$A88,EndOfLife!$A$64:$A$80,0),MATCH('Paper Tables pt. 2'!E$75,EndOfLife!$L$63:$P$63,0))</f>
        <v>0.54101126897570861</v>
      </c>
    </row>
    <row r="89" spans="1:11" x14ac:dyDescent="0.2">
      <c r="A89" s="159" t="str">
        <f>PlasticsUse!A84</f>
        <v>Polycarbonate</v>
      </c>
      <c r="B89" s="160">
        <f>INDEX(EndOfLife!$J$64:$J$80,MATCH('Paper Tables pt. 2'!$A89,EndOfLife!$A$64:$A$80,0),1)*INDEX(EndOfLife!$B$85:$C$101,MATCH('Paper Tables pt. 2'!$A89,EndOfLife!$A$85:$A$101,0),MATCH('Paper Tables pt. 2'!B$75,EndOfLife!$B$84:$C$84,0))</f>
        <v>2.7824029245541935</v>
      </c>
      <c r="C89" s="160">
        <f>INDEX(EndOfLife!$J$64:$J$80,MATCH('Paper Tables pt. 2'!$A89,EndOfLife!$A$64:$A$80,0),1)*INDEX(EndOfLife!$B$85:$C$101,MATCH('Paper Tables pt. 2'!$A89,EndOfLife!$A$85:$A$101,0),MATCH('Paper Tables pt. 2'!C$75,EndOfLife!$B$84:$C$84,0))</f>
        <v>0.69560073113854837</v>
      </c>
      <c r="D89" s="160">
        <f>EndOfLife!K77</f>
        <v>0</v>
      </c>
      <c r="E89" s="160">
        <f>INDEX(EndOfLife!$L$64:$P$80,MATCH('Paper Tables pt. 2'!$A89,EndOfLife!$A$64:$A$80,0),MATCH('Paper Tables pt. 2'!E$75,EndOfLife!$L$63:$P$63,0))</f>
        <v>2.8511114742513297</v>
      </c>
    </row>
    <row r="90" spans="1:11" ht="30" x14ac:dyDescent="0.2">
      <c r="A90" s="159" t="str">
        <f>PlasticsUse!A85</f>
        <v>Styrene butadiene rubber</v>
      </c>
      <c r="B90" s="160">
        <f>INDEX(EndOfLife!$J$64:$J$80,MATCH('Paper Tables pt. 2'!$A90,EndOfLife!$A$64:$A$80,0),1)*INDEX(EndOfLife!$B$85:$C$101,MATCH('Paper Tables pt. 2'!$A90,EndOfLife!$A$85:$A$101,0),MATCH('Paper Tables pt. 2'!B$75,EndOfLife!$B$84:$C$84,0))</f>
        <v>0.17220599818677562</v>
      </c>
      <c r="C90" s="160">
        <f>INDEX(EndOfLife!$J$64:$J$80,MATCH('Paper Tables pt. 2'!$A90,EndOfLife!$A$64:$A$80,0),1)*INDEX(EndOfLife!$B$85:$C$101,MATCH('Paper Tables pt. 2'!$A90,EndOfLife!$A$85:$A$101,0),MATCH('Paper Tables pt. 2'!C$75,EndOfLife!$B$84:$C$84,0))</f>
        <v>0.7154537862811402</v>
      </c>
      <c r="D90" s="160">
        <f>EndOfLife!K78</f>
        <v>0</v>
      </c>
      <c r="E90" s="160">
        <f>INDEX(EndOfLife!$L$64:$P$80,MATCH('Paper Tables pt. 2'!$A90,EndOfLife!$A$64:$A$80,0),MATCH('Paper Tables pt. 2'!E$75,EndOfLife!$L$63:$P$63,0))</f>
        <v>0.30528040243506777</v>
      </c>
    </row>
    <row r="91" spans="1:11" x14ac:dyDescent="0.2">
      <c r="A91" s="159" t="str">
        <f>PlasticsUse!A86</f>
        <v>Other resins</v>
      </c>
      <c r="B91" s="160">
        <f>INDEX(EndOfLife!$J$64:$J$80,MATCH('Paper Tables pt. 2'!$A91,EndOfLife!$A$64:$A$80,0),1)*INDEX(EndOfLife!$B$85:$C$101,MATCH('Paper Tables pt. 2'!$A91,EndOfLife!$A$85:$A$101,0),MATCH('Paper Tables pt. 2'!B$75,EndOfLife!$B$84:$C$84,0))</f>
        <v>1.8968011563510843</v>
      </c>
      <c r="C91" s="160">
        <f>INDEX(EndOfLife!$J$64:$J$80,MATCH('Paper Tables pt. 2'!$A91,EndOfLife!$A$64:$A$80,0),1)*INDEX(EndOfLife!$B$85:$C$101,MATCH('Paper Tables pt. 2'!$A91,EndOfLife!$A$85:$A$101,0),MATCH('Paper Tables pt. 2'!C$75,EndOfLife!$B$84:$C$84,0))</f>
        <v>0</v>
      </c>
      <c r="D91" s="160">
        <f>EndOfLife!K79</f>
        <v>0</v>
      </c>
      <c r="E91" s="160">
        <f>INDEX(EndOfLife!$L$64:$P$80,MATCH('Paper Tables pt. 2'!$A91,EndOfLife!$A$64:$A$80,0),MATCH('Paper Tables pt. 2'!E$75,EndOfLife!$L$63:$P$63,0))</f>
        <v>1.4230385636719229</v>
      </c>
    </row>
    <row r="92" spans="1:11" x14ac:dyDescent="0.2">
      <c r="A92" s="159" t="str">
        <f>PlasticsUse!A87</f>
        <v>Copolymers</v>
      </c>
      <c r="B92" s="160">
        <f>INDEX(EndOfLife!$J$64:$J$80,MATCH('Paper Tables pt. 2'!$A92,EndOfLife!$A$64:$A$80,0),1)*INDEX(EndOfLife!$B$85:$C$101,MATCH('Paper Tables pt. 2'!$A92,EndOfLife!$A$85:$A$101,0),MATCH('Paper Tables pt. 2'!B$75,EndOfLife!$B$84:$C$84,0))</f>
        <v>0.8261398622005065</v>
      </c>
      <c r="C92" s="160">
        <f>INDEX(EndOfLife!$J$64:$J$80,MATCH('Paper Tables pt. 2'!$A92,EndOfLife!$A$64:$A$80,0),1)*INDEX(EndOfLife!$B$85:$C$101,MATCH('Paper Tables pt. 2'!$A92,EndOfLife!$A$85:$A$101,0),MATCH('Paper Tables pt. 2'!C$75,EndOfLife!$B$84:$C$84,0))</f>
        <v>0</v>
      </c>
      <c r="D92" s="160">
        <f>EndOfLife!K80</f>
        <v>0</v>
      </c>
      <c r="E92" s="160">
        <f>INDEX(EndOfLife!$L$64:$P$80,MATCH('Paper Tables pt. 2'!$A92,EndOfLife!$A$64:$A$80,0),MATCH('Paper Tables pt. 2'!E$75,EndOfLife!$L$63:$P$63,0))</f>
        <v>0.61979553257944586</v>
      </c>
    </row>
    <row r="93" spans="1:11" x14ac:dyDescent="0.2">
      <c r="A93" s="159" t="str">
        <f>PlasticsUse!A88</f>
        <v>TOTAL</v>
      </c>
      <c r="B93" s="160">
        <f>SUM(B76:B92)</f>
        <v>44.228737174128447</v>
      </c>
      <c r="C93" s="160">
        <f>SUM(C76:C92)</f>
        <v>4.631695404881004</v>
      </c>
      <c r="D93" s="160">
        <f>SUM(D76:D92)</f>
        <v>0.25912439885394112</v>
      </c>
      <c r="E93" s="160">
        <f>SUM(E76:E92)</f>
        <v>35.86564883923382</v>
      </c>
    </row>
    <row r="94" spans="1:11" x14ac:dyDescent="0.2">
      <c r="B94" s="11"/>
      <c r="C94" s="11"/>
      <c r="D94" s="11"/>
      <c r="E94" s="11"/>
      <c r="F94" s="11"/>
      <c r="G94" s="11"/>
      <c r="H94" s="11"/>
      <c r="I94" s="11"/>
      <c r="J94" s="11"/>
      <c r="K94" s="11"/>
    </row>
    <row r="95" spans="1:11" x14ac:dyDescent="0.2">
      <c r="B95" s="11"/>
      <c r="C95" s="11"/>
      <c r="D95" s="11"/>
      <c r="E95" s="11"/>
      <c r="F95" s="11"/>
      <c r="G95" s="11"/>
      <c r="H95" s="11"/>
      <c r="I95" s="11"/>
      <c r="J95" s="11"/>
      <c r="K95" s="11"/>
    </row>
    <row r="96" spans="1:11" ht="16" customHeight="1" x14ac:dyDescent="0.2">
      <c r="B96" s="199" t="s">
        <v>920</v>
      </c>
      <c r="C96" s="199"/>
      <c r="D96" s="199"/>
      <c r="E96" s="199"/>
      <c r="F96" s="199"/>
      <c r="G96" s="199"/>
      <c r="H96" s="199"/>
      <c r="I96" s="199"/>
      <c r="J96" s="11"/>
      <c r="K96" s="11"/>
    </row>
    <row r="97" spans="1:11" ht="45" x14ac:dyDescent="0.2">
      <c r="A97" s="158" t="s">
        <v>902</v>
      </c>
      <c r="B97" s="163" t="s">
        <v>191</v>
      </c>
      <c r="C97" s="163" t="s">
        <v>358</v>
      </c>
      <c r="D97" s="163" t="s">
        <v>333</v>
      </c>
      <c r="E97" s="163" t="s">
        <v>5</v>
      </c>
      <c r="F97" s="163" t="str">
        <f>EndOfLife!T63</f>
        <v>Bales to Domestic Recyclers</v>
      </c>
      <c r="G97" s="163" t="str">
        <f>EndOfLife!U63</f>
        <v>Exported Bales</v>
      </c>
      <c r="H97" s="163" t="str">
        <f>EndOfLife!V63</f>
        <v>Recycling Output - Landfill</v>
      </c>
      <c r="I97" s="163" t="s">
        <v>367</v>
      </c>
      <c r="J97" s="11"/>
      <c r="K97" s="11"/>
    </row>
    <row r="98" spans="1:11" x14ac:dyDescent="0.2">
      <c r="A98" s="159" t="str">
        <f>PlasticsUse!A71</f>
        <v>Polyurethane</v>
      </c>
      <c r="B98" s="160">
        <f>INDEX(EndOfLife!$L$64:$P$80,MATCH($A98,EndOfLife!$A$64:$A$80,0),MATCH(B$97,EndOfLife!$L$63:$P$63,0))</f>
        <v>3.3763123841947666</v>
      </c>
      <c r="C98" s="160">
        <f>INDEX(EndOfLife!$L$64:$P$80,MATCH($A98,EndOfLife!$A$64:$A$80,0),MATCH(C$97,EndOfLife!$L$63:$P$63,0))</f>
        <v>0</v>
      </c>
      <c r="D98" s="160">
        <f>INDEX(EndOfLife!$L$64:$P$80,MATCH($A98,EndOfLife!$A$64:$A$80,0),MATCH(D$97,EndOfLife!$L$63:$P$63,0))</f>
        <v>0.71282885070195257</v>
      </c>
      <c r="E98" s="160">
        <f>INDEX(EndOfLife!$L$64:$P$80,MATCH($A98,EndOfLife!$A$64:$A$80,0),MATCH(E$97,EndOfLife!$L$63:$P$63,0))</f>
        <v>1.7107150721699544</v>
      </c>
      <c r="F98" s="160">
        <f>INDEX(EndOfLife!$T$64:$V$80,MATCH($A98,EndOfLife!$S$64:$S$80,0),MATCH(F$97,EndOfLife!$T$63:$V$63,0))</f>
        <v>1.4605624041391865</v>
      </c>
      <c r="G98" s="160">
        <f>INDEX(EndOfLife!$T$64:$V$80,MATCH($A98,EndOfLife!$S$64:$S$80,0),MATCH(G$97,EndOfLife!$T$63:$V$63,0))</f>
        <v>0.78325325221206077</v>
      </c>
      <c r="H98" s="160">
        <f>INDEX(EndOfLife!$T$64:$V$80,MATCH($A98,EndOfLife!$S$64:$S$80,0),MATCH(H$97,EndOfLife!$T$63:$V$63,0))</f>
        <v>1.1324967278435194</v>
      </c>
      <c r="I98" s="170">
        <f>EndOfLife!Z64</f>
        <v>0.10671188575282442</v>
      </c>
      <c r="J98" s="11"/>
      <c r="K98" s="11"/>
    </row>
    <row r="99" spans="1:11" x14ac:dyDescent="0.2">
      <c r="A99" s="159" t="str">
        <f>PlasticsUse!A72</f>
        <v>Other thermosets</v>
      </c>
      <c r="B99" s="160">
        <f>INDEX(EndOfLife!$L$64:$P$80,MATCH($A99,EndOfLife!$A$64:$A$80,0),MATCH(B$97,EndOfLife!$L$63:$P$63,0))</f>
        <v>0.31504780184305953</v>
      </c>
      <c r="C99" s="160">
        <f>INDEX(EndOfLife!$L$64:$P$80,MATCH($A99,EndOfLife!$A$64:$A$80,0),MATCH(C$97,EndOfLife!$L$63:$P$63,0))</f>
        <v>0</v>
      </c>
      <c r="D99" s="160">
        <f>INDEX(EndOfLife!$L$64:$P$80,MATCH($A99,EndOfLife!$A$64:$A$80,0),MATCH(D$97,EndOfLife!$L$63:$P$63,0))</f>
        <v>0</v>
      </c>
      <c r="E99" s="160">
        <f>INDEX(EndOfLife!$L$64:$P$80,MATCH($A99,EndOfLife!$A$64:$A$80,0),MATCH(E$97,EndOfLife!$L$63:$P$63,0))</f>
        <v>0.15962889737036981</v>
      </c>
      <c r="F99" s="160">
        <f>INDEX(EndOfLife!$T$64:$V$80,MATCH($A99,EndOfLife!$S$64:$S$80,0),MATCH(F$97,EndOfLife!$T$63:$V$63,0))</f>
        <v>0.13628684864371868</v>
      </c>
      <c r="G99" s="160">
        <f>INDEX(EndOfLife!$T$64:$V$80,MATCH($A99,EndOfLife!$S$64:$S$80,0),MATCH(G$97,EndOfLife!$T$63:$V$63,0))</f>
        <v>7.3086310541341917E-2</v>
      </c>
      <c r="H99" s="160">
        <f>INDEX(EndOfLife!$T$64:$V$80,MATCH($A99,EndOfLife!$S$64:$S$80,0),MATCH(H$97,EndOfLife!$T$63:$V$63,0))</f>
        <v>0.10567464265799893</v>
      </c>
      <c r="I99" s="170">
        <f>EndOfLife!Z65</f>
        <v>7.1712522104890777E-2</v>
      </c>
      <c r="J99" s="11"/>
      <c r="K99" s="11"/>
    </row>
    <row r="100" spans="1:11" x14ac:dyDescent="0.2">
      <c r="A100" s="159" t="str">
        <f>PlasticsUse!A73</f>
        <v>LDPE</v>
      </c>
      <c r="B100" s="160">
        <f>INDEX(EndOfLife!$L$64:$P$80,MATCH($A100,EndOfLife!$A$64:$A$80,0),MATCH(B$97,EndOfLife!$L$63:$P$63,0))</f>
        <v>0</v>
      </c>
      <c r="C100" s="160">
        <f>INDEX(EndOfLife!$L$64:$P$80,MATCH($A100,EndOfLife!$A$64:$A$80,0),MATCH(C$97,EndOfLife!$L$63:$P$63,0))</f>
        <v>0</v>
      </c>
      <c r="D100" s="160">
        <f>INDEX(EndOfLife!$L$64:$P$80,MATCH($A100,EndOfLife!$A$64:$A$80,0),MATCH(D$97,EndOfLife!$L$63:$P$63,0))</f>
        <v>6.7774101786812133E-2</v>
      </c>
      <c r="E100" s="160">
        <f>INDEX(EndOfLife!$L$64:$P$80,MATCH($A100,EndOfLife!$A$64:$A$80,0),MATCH(E$97,EndOfLife!$L$63:$P$63,0))</f>
        <v>0.30987521705077242</v>
      </c>
      <c r="F100" s="160">
        <f>INDEX(EndOfLife!$T$64:$V$80,MATCH($A100,EndOfLife!$S$64:$S$80,0),MATCH(F$97,EndOfLife!$T$63:$V$63,0))</f>
        <v>9.0143106420287389E-2</v>
      </c>
      <c r="G100" s="160">
        <f>INDEX(EndOfLife!$T$64:$V$80,MATCH($A100,EndOfLife!$S$64:$S$80,0),MATCH(G$97,EndOfLife!$T$63:$V$63,0))</f>
        <v>4.5229329942501256E-2</v>
      </c>
      <c r="H100" s="160">
        <f>INDEX(EndOfLife!$T$64:$V$80,MATCH($A100,EndOfLife!$S$64:$S$80,0),MATCH(H$97,EndOfLife!$T$63:$V$63,0))</f>
        <v>3.3659036236280008E-3</v>
      </c>
      <c r="I100" s="170">
        <f>EndOfLife!Z66</f>
        <v>8.1550351101550234E-2</v>
      </c>
      <c r="J100" s="11"/>
      <c r="K100" s="11"/>
    </row>
    <row r="101" spans="1:11" x14ac:dyDescent="0.2">
      <c r="A101" s="159" t="str">
        <f>PlasticsUse!A74</f>
        <v>LLDPE</v>
      </c>
      <c r="B101" s="160">
        <f>INDEX(EndOfLife!$L$64:$P$80,MATCH($A101,EndOfLife!$A$64:$A$80,0),MATCH(B$97,EndOfLife!$L$63:$P$63,0))</f>
        <v>0</v>
      </c>
      <c r="C101" s="160">
        <f>INDEX(EndOfLife!$L$64:$P$80,MATCH($A101,EndOfLife!$A$64:$A$80,0),MATCH(C$97,EndOfLife!$L$63:$P$63,0))</f>
        <v>0</v>
      </c>
      <c r="D101" s="160">
        <f>INDEX(EndOfLife!$L$64:$P$80,MATCH($A101,EndOfLife!$A$64:$A$80,0),MATCH(D$97,EndOfLife!$L$63:$P$63,0))</f>
        <v>5.8808956545101945E-2</v>
      </c>
      <c r="E101" s="160">
        <f>INDEX(EndOfLife!$L$64:$P$80,MATCH($A101,EndOfLife!$A$64:$A$80,0),MATCH(E$97,EndOfLife!$L$63:$P$63,0))</f>
        <v>0.26888498251538506</v>
      </c>
      <c r="F101" s="160">
        <f>INDEX(EndOfLife!$T$64:$V$80,MATCH($A101,EndOfLife!$S$64:$S$80,0),MATCH(F$97,EndOfLife!$T$63:$V$63,0))</f>
        <v>7.8218993517413515E-2</v>
      </c>
      <c r="G101" s="160">
        <f>INDEX(EndOfLife!$T$64:$V$80,MATCH($A101,EndOfLife!$S$64:$S$80,0),MATCH(G$97,EndOfLife!$T$63:$V$63,0))</f>
        <v>3.9246402815038287E-2</v>
      </c>
      <c r="H101" s="160">
        <f>INDEX(EndOfLife!$T$64:$V$80,MATCH($A101,EndOfLife!$S$64:$S$80,0),MATCH(H$97,EndOfLife!$T$63:$V$63,0))</f>
        <v>2.9206625350726169E-3</v>
      </c>
      <c r="I101" s="170">
        <f>EndOfLife!Z67</f>
        <v>8.155035110155022E-2</v>
      </c>
      <c r="J101" s="11"/>
      <c r="K101" s="11"/>
    </row>
    <row r="102" spans="1:11" x14ac:dyDescent="0.2">
      <c r="A102" s="159" t="str">
        <f>PlasticsUse!A75</f>
        <v>HDPE</v>
      </c>
      <c r="B102" s="160">
        <f>INDEX(EndOfLife!$L$64:$P$80,MATCH($A102,EndOfLife!$A$64:$A$80,0),MATCH(B$97,EndOfLife!$L$63:$P$63,0))</f>
        <v>0.28141814613761956</v>
      </c>
      <c r="C102" s="160">
        <f>INDEX(EndOfLife!$L$64:$P$80,MATCH($A102,EndOfLife!$A$64:$A$80,0),MATCH(C$97,EndOfLife!$L$63:$P$63,0))</f>
        <v>0</v>
      </c>
      <c r="D102" s="160">
        <f>INDEX(EndOfLife!$L$64:$P$80,MATCH($A102,EndOfLife!$A$64:$A$80,0),MATCH(D$97,EndOfLife!$L$63:$P$63,0))</f>
        <v>8.2241467986833405E-2</v>
      </c>
      <c r="E102" s="160">
        <f>INDEX(EndOfLife!$L$64:$P$80,MATCH($A102,EndOfLife!$A$64:$A$80,0),MATCH(E$97,EndOfLife!$L$63:$P$63,0))</f>
        <v>0.35673465956784306</v>
      </c>
      <c r="F102" s="160">
        <f>INDEX(EndOfLife!$T$64:$V$80,MATCH($A102,EndOfLife!$S$64:$S$80,0),MATCH(F$97,EndOfLife!$T$63:$V$63,0))</f>
        <v>0.18426848892856054</v>
      </c>
      <c r="G102" s="160">
        <f>INDEX(EndOfLife!$T$64:$V$80,MATCH($A102,EndOfLife!$S$64:$S$80,0),MATCH(G$97,EndOfLife!$T$63:$V$63,0))</f>
        <v>9.1743595784060952E-2</v>
      </c>
      <c r="H102" s="160">
        <f>INDEX(EndOfLife!$T$64:$V$80,MATCH($A102,EndOfLife!$S$64:$S$80,0),MATCH(H$97,EndOfLife!$T$63:$V$63,0))</f>
        <v>5.4060614249980474E-3</v>
      </c>
      <c r="I102" s="170">
        <f>EndOfLife!Z68</f>
        <v>0.113418195543036</v>
      </c>
      <c r="J102" s="11"/>
      <c r="K102" s="11"/>
    </row>
    <row r="103" spans="1:11" x14ac:dyDescent="0.2">
      <c r="A103" s="159" t="str">
        <f>PlasticsUse!A76</f>
        <v>PP</v>
      </c>
      <c r="B103" s="160">
        <f>INDEX(EndOfLife!$L$64:$P$80,MATCH($A103,EndOfLife!$A$64:$A$80,0),MATCH(B$97,EndOfLife!$L$63:$P$63,0))</f>
        <v>1.4811899741493821E-2</v>
      </c>
      <c r="C103" s="160">
        <f>INDEX(EndOfLife!$L$64:$P$80,MATCH($A103,EndOfLife!$A$64:$A$80,0),MATCH(C$97,EndOfLife!$L$63:$P$63,0))</f>
        <v>0</v>
      </c>
      <c r="D103" s="160">
        <f>INDEX(EndOfLife!$L$64:$P$80,MATCH($A103,EndOfLife!$A$64:$A$80,0),MATCH(D$97,EndOfLife!$L$63:$P$63,0))</f>
        <v>6.3261862195844579E-2</v>
      </c>
      <c r="E103" s="160">
        <f>INDEX(EndOfLife!$L$64:$P$80,MATCH($A103,EndOfLife!$A$64:$A$80,0),MATCH(E$97,EndOfLife!$L$63:$P$63,0))</f>
        <v>0.25411665494000341</v>
      </c>
      <c r="F103" s="160">
        <f>INDEX(EndOfLife!$T$64:$V$80,MATCH($A103,EndOfLife!$S$64:$S$80,0),MATCH(F$97,EndOfLife!$T$63:$V$63,0))</f>
        <v>0</v>
      </c>
      <c r="G103" s="160">
        <f>INDEX(EndOfLife!$T$64:$V$80,MATCH($A103,EndOfLife!$S$64:$S$80,0),MATCH(G$97,EndOfLife!$T$63:$V$63,0))</f>
        <v>1.4811899741493821E-2</v>
      </c>
      <c r="H103" s="160">
        <f>INDEX(EndOfLife!$T$64:$V$80,MATCH($A103,EndOfLife!$S$64:$S$80,0),MATCH(H$97,EndOfLife!$T$63:$V$63,0))</f>
        <v>0</v>
      </c>
      <c r="I103" s="170">
        <f>EndOfLife!Z69</f>
        <v>3.4999363647933664E-2</v>
      </c>
      <c r="J103" s="11"/>
      <c r="K103" s="11"/>
    </row>
    <row r="104" spans="1:11" x14ac:dyDescent="0.2">
      <c r="A104" s="159" t="str">
        <f>PlasticsUse!A77</f>
        <v>PS</v>
      </c>
      <c r="B104" s="160">
        <f>INDEX(EndOfLife!$L$64:$P$80,MATCH($A104,EndOfLife!$A$64:$A$80,0),MATCH(B$97,EndOfLife!$L$63:$P$63,0))</f>
        <v>2.1195786588803781E-2</v>
      </c>
      <c r="C104" s="160">
        <f>INDEX(EndOfLife!$L$64:$P$80,MATCH($A104,EndOfLife!$A$64:$A$80,0),MATCH(C$97,EndOfLife!$L$63:$P$63,0))</f>
        <v>0</v>
      </c>
      <c r="D104" s="160">
        <f>INDEX(EndOfLife!$L$64:$P$80,MATCH($A104,EndOfLife!$A$64:$A$80,0),MATCH(D$97,EndOfLife!$L$63:$P$63,0))</f>
        <v>5.9017417168876221E-2</v>
      </c>
      <c r="E104" s="160">
        <f>INDEX(EndOfLife!$L$64:$P$80,MATCH($A104,EndOfLife!$A$64:$A$80,0),MATCH(E$97,EndOfLife!$L$63:$P$63,0))</f>
        <v>0.28889072091406631</v>
      </c>
      <c r="F104" s="160">
        <f>INDEX(EndOfLife!$T$64:$V$80,MATCH($A104,EndOfLife!$S$64:$S$80,0),MATCH(F$97,EndOfLife!$T$63:$V$63,0))</f>
        <v>1.8055670057129148E-2</v>
      </c>
      <c r="G104" s="160">
        <f>INDEX(EndOfLife!$T$64:$V$80,MATCH($A104,EndOfLife!$S$64:$S$80,0),MATCH(G$97,EndOfLife!$T$63:$V$63,0))</f>
        <v>3.1401165316746341E-3</v>
      </c>
      <c r="H104" s="160">
        <f>INDEX(EndOfLife!$T$64:$V$80,MATCH($A104,EndOfLife!$S$64:$S$80,0),MATCH(H$97,EndOfLife!$T$63:$V$63,0))</f>
        <v>0</v>
      </c>
      <c r="I104" s="170">
        <f>EndOfLife!Z70</f>
        <v>4.5706998657244653E-2</v>
      </c>
      <c r="J104" s="11"/>
      <c r="K104" s="11"/>
    </row>
    <row r="105" spans="1:11" x14ac:dyDescent="0.2">
      <c r="A105" s="159" t="str">
        <f>PlasticsUse!A78</f>
        <v>EPS</v>
      </c>
      <c r="B105" s="160">
        <f>INDEX(EndOfLife!$L$64:$P$80,MATCH($A105,EndOfLife!$A$64:$A$80,0),MATCH(B$97,EndOfLife!$L$63:$P$63,0))</f>
        <v>2.1765709254385285E-2</v>
      </c>
      <c r="C105" s="160">
        <f>INDEX(EndOfLife!$L$64:$P$80,MATCH($A105,EndOfLife!$A$64:$A$80,0),MATCH(C$97,EndOfLife!$L$63:$P$63,0))</f>
        <v>0</v>
      </c>
      <c r="D105" s="160">
        <f>INDEX(EndOfLife!$L$64:$P$80,MATCH($A105,EndOfLife!$A$64:$A$80,0),MATCH(D$97,EndOfLife!$L$63:$P$63,0))</f>
        <v>6.0604306316287659E-2</v>
      </c>
      <c r="E105" s="160">
        <f>INDEX(EndOfLife!$L$64:$P$80,MATCH($A105,EndOfLife!$A$64:$A$80,0),MATCH(E$97,EndOfLife!$L$63:$P$63,0))</f>
        <v>0.2966585557634735</v>
      </c>
      <c r="F105" s="160">
        <f>INDEX(EndOfLife!$T$64:$V$80,MATCH($A105,EndOfLife!$S$64:$S$80,0),MATCH(F$97,EndOfLife!$T$63:$V$63,0))</f>
        <v>1.8541159735217094E-2</v>
      </c>
      <c r="G105" s="160">
        <f>INDEX(EndOfLife!$T$64:$V$80,MATCH($A105,EndOfLife!$S$64:$S$80,0),MATCH(G$97,EndOfLife!$T$63:$V$63,0))</f>
        <v>3.2245495191681904E-3</v>
      </c>
      <c r="H105" s="160">
        <f>INDEX(EndOfLife!$T$64:$V$80,MATCH($A105,EndOfLife!$S$64:$S$80,0),MATCH(H$97,EndOfLife!$T$63:$V$63,0))</f>
        <v>0</v>
      </c>
      <c r="I105" s="170">
        <f>EndOfLife!Z71</f>
        <v>4.570699865724466E-2</v>
      </c>
      <c r="J105" s="11"/>
      <c r="K105" s="11"/>
    </row>
    <row r="106" spans="1:11" x14ac:dyDescent="0.2">
      <c r="A106" s="159" t="str">
        <f>PlasticsUse!A79</f>
        <v>PVC</v>
      </c>
      <c r="B106" s="160">
        <f>INDEX(EndOfLife!$L$64:$P$80,MATCH($A106,EndOfLife!$A$64:$A$80,0),MATCH(B$97,EndOfLife!$L$63:$P$63,0))</f>
        <v>5.5776918995787579E-3</v>
      </c>
      <c r="C106" s="160">
        <f>INDEX(EndOfLife!$L$64:$P$80,MATCH($A106,EndOfLife!$A$64:$A$80,0),MATCH(C$97,EndOfLife!$L$63:$P$63,0))</f>
        <v>0</v>
      </c>
      <c r="D106" s="160">
        <f>INDEX(EndOfLife!$L$64:$P$80,MATCH($A106,EndOfLife!$A$64:$A$80,0),MATCH(D$97,EndOfLife!$L$63:$P$63,0))</f>
        <v>6.201351025178161E-2</v>
      </c>
      <c r="E106" s="160">
        <f>INDEX(EndOfLife!$L$64:$P$80,MATCH($A106,EndOfLife!$A$64:$A$80,0),MATCH(E$97,EndOfLife!$L$63:$P$63,0))</f>
        <v>0.27330690307935912</v>
      </c>
      <c r="F106" s="160">
        <f>INDEX(EndOfLife!$T$64:$V$80,MATCH($A106,EndOfLife!$S$64:$S$80,0),MATCH(F$97,EndOfLife!$T$63:$V$63,0))</f>
        <v>0</v>
      </c>
      <c r="G106" s="160">
        <f>INDEX(EndOfLife!$T$64:$V$80,MATCH($A106,EndOfLife!$S$64:$S$80,0),MATCH(G$97,EndOfLife!$T$63:$V$63,0))</f>
        <v>3.7184612663858389E-3</v>
      </c>
      <c r="H106" s="160">
        <f>INDEX(EndOfLife!$T$64:$V$80,MATCH($A106,EndOfLife!$S$64:$S$80,0),MATCH(H$97,EndOfLife!$T$63:$V$63,0))</f>
        <v>1.8592306331929192E-3</v>
      </c>
      <c r="I106" s="170">
        <f>EndOfLife!Z72</f>
        <v>3.4999363647933671E-2</v>
      </c>
      <c r="J106" s="11"/>
      <c r="K106" s="11"/>
    </row>
    <row r="107" spans="1:11" x14ac:dyDescent="0.2">
      <c r="A107" s="159" t="str">
        <f>PlasticsUse!A80</f>
        <v>PET</v>
      </c>
      <c r="B107" s="160">
        <f>INDEX(EndOfLife!$L$64:$P$80,MATCH($A107,EndOfLife!$A$64:$A$80,0),MATCH(B$97,EndOfLife!$L$63:$P$63,0))</f>
        <v>0.70294973543236738</v>
      </c>
      <c r="C107" s="160">
        <f>INDEX(EndOfLife!$L$64:$P$80,MATCH($A107,EndOfLife!$A$64:$A$80,0),MATCH(C$97,EndOfLife!$L$63:$P$63,0))</f>
        <v>0</v>
      </c>
      <c r="D107" s="160">
        <f>INDEX(EndOfLife!$L$64:$P$80,MATCH($A107,EndOfLife!$A$64:$A$80,0),MATCH(D$97,EndOfLife!$L$63:$P$63,0))</f>
        <v>0</v>
      </c>
      <c r="E107" s="160">
        <f>INDEX(EndOfLife!$L$64:$P$80,MATCH($A107,EndOfLife!$A$64:$A$80,0),MATCH(E$97,EndOfLife!$L$63:$P$63,0))</f>
        <v>0.58510470358379918</v>
      </c>
      <c r="F107" s="160">
        <f>INDEX(EndOfLife!$T$64:$V$80,MATCH($A107,EndOfLife!$S$64:$S$80,0),MATCH(F$97,EndOfLife!$T$63:$V$63,0))</f>
        <v>0.3996841989269615</v>
      </c>
      <c r="G107" s="160">
        <f>INDEX(EndOfLife!$T$64:$V$80,MATCH($A107,EndOfLife!$S$64:$S$80,0),MATCH(G$97,EndOfLife!$T$63:$V$63,0))</f>
        <v>0.17882777560237251</v>
      </c>
      <c r="H107" s="160">
        <f>INDEX(EndOfLife!$T$64:$V$80,MATCH($A107,EndOfLife!$S$64:$S$80,0),MATCH(H$97,EndOfLife!$T$63:$V$63,0))</f>
        <v>0.12443776090303338</v>
      </c>
      <c r="I107" s="170">
        <f>EndOfLife!Z73</f>
        <v>0.10479688850475367</v>
      </c>
      <c r="J107" s="11"/>
      <c r="K107" s="11"/>
    </row>
    <row r="108" spans="1:11" x14ac:dyDescent="0.2">
      <c r="A108" s="159" t="str">
        <f>PlasticsUse!A81</f>
        <v>ABS</v>
      </c>
      <c r="B108" s="160">
        <f>INDEX(EndOfLife!$L$64:$P$80,MATCH($A108,EndOfLife!$A$64:$A$80,0),MATCH(B$97,EndOfLife!$L$63:$P$63,0))</f>
        <v>0</v>
      </c>
      <c r="C108" s="160">
        <f>INDEX(EndOfLife!$L$64:$P$80,MATCH($A108,EndOfLife!$A$64:$A$80,0),MATCH(C$97,EndOfLife!$L$63:$P$63,0))</f>
        <v>0</v>
      </c>
      <c r="D108" s="160">
        <f>INDEX(EndOfLife!$L$64:$P$80,MATCH($A108,EndOfLife!$A$64:$A$80,0),MATCH(D$97,EndOfLife!$L$63:$P$63,0))</f>
        <v>0.20769322838014198</v>
      </c>
      <c r="E108" s="160">
        <f>INDEX(EndOfLife!$L$64:$P$80,MATCH($A108,EndOfLife!$A$64:$A$80,0),MATCH(E$97,EndOfLife!$L$63:$P$63,0))</f>
        <v>8.2385632282265531E-2</v>
      </c>
      <c r="F108" s="160">
        <f>INDEX(EndOfLife!$T$64:$V$80,MATCH($A108,EndOfLife!$S$64:$S$80,0),MATCH(F$97,EndOfLife!$T$63:$V$63,0))</f>
        <v>0</v>
      </c>
      <c r="G108" s="160">
        <f>INDEX(EndOfLife!$T$64:$V$80,MATCH($A108,EndOfLife!$S$64:$S$80,0),MATCH(G$97,EndOfLife!$T$63:$V$63,0))</f>
        <v>0</v>
      </c>
      <c r="H108" s="160">
        <f>INDEX(EndOfLife!$T$64:$V$80,MATCH($A108,EndOfLife!$S$64:$S$80,0),MATCH(H$97,EndOfLife!$T$63:$V$63,0))</f>
        <v>0</v>
      </c>
      <c r="I108" s="170">
        <f>EndOfLife!Z74</f>
        <v>0</v>
      </c>
      <c r="J108" s="11"/>
      <c r="K108" s="11"/>
    </row>
    <row r="109" spans="1:11" x14ac:dyDescent="0.2">
      <c r="A109" s="159" t="str">
        <f>PlasticsUse!A82</f>
        <v>Polyester fiber</v>
      </c>
      <c r="B109" s="160">
        <f>INDEX(EndOfLife!$L$64:$P$80,MATCH($A109,EndOfLife!$A$64:$A$80,0),MATCH(B$97,EndOfLife!$L$63:$P$63,0))</f>
        <v>0</v>
      </c>
      <c r="C109" s="160">
        <f>INDEX(EndOfLife!$L$64:$P$80,MATCH($A109,EndOfLife!$A$64:$A$80,0),MATCH(C$97,EndOfLife!$L$63:$P$63,0))</f>
        <v>0</v>
      </c>
      <c r="D109" s="160">
        <f>INDEX(EndOfLife!$L$64:$P$80,MATCH($A109,EndOfLife!$A$64:$A$80,0),MATCH(D$97,EndOfLife!$L$63:$P$63,0))</f>
        <v>0</v>
      </c>
      <c r="E109" s="160">
        <f>INDEX(EndOfLife!$L$64:$P$80,MATCH($A109,EndOfLife!$A$64:$A$80,0),MATCH(E$97,EndOfLife!$L$63:$P$63,0))</f>
        <v>9.7046945194829703E-2</v>
      </c>
      <c r="F109" s="160">
        <f>INDEX(EndOfLife!$T$64:$V$80,MATCH($A109,EndOfLife!$S$64:$S$80,0),MATCH(F$97,EndOfLife!$T$63:$V$63,0))</f>
        <v>0</v>
      </c>
      <c r="G109" s="160">
        <f>INDEX(EndOfLife!$T$64:$V$80,MATCH($A109,EndOfLife!$S$64:$S$80,0),MATCH(G$97,EndOfLife!$T$63:$V$63,0))</f>
        <v>0</v>
      </c>
      <c r="H109" s="160">
        <f>INDEX(EndOfLife!$T$64:$V$80,MATCH($A109,EndOfLife!$S$64:$S$80,0),MATCH(H$97,EndOfLife!$T$63:$V$63,0))</f>
        <v>0</v>
      </c>
      <c r="I109" s="170">
        <f>EndOfLife!Z75</f>
        <v>0.21175000000000002</v>
      </c>
      <c r="J109" s="11"/>
      <c r="K109" s="11"/>
    </row>
    <row r="110" spans="1:11" x14ac:dyDescent="0.2">
      <c r="A110" s="159" t="str">
        <f>PlasticsUse!A83</f>
        <v>Polyamide nylon</v>
      </c>
      <c r="B110" s="160">
        <f>INDEX(EndOfLife!$L$64:$P$80,MATCH($A110,EndOfLife!$A$64:$A$80,0),MATCH(B$97,EndOfLife!$L$63:$P$63,0))</f>
        <v>0</v>
      </c>
      <c r="C110" s="160">
        <f>INDEX(EndOfLife!$L$64:$P$80,MATCH($A110,EndOfLife!$A$64:$A$80,0),MATCH(C$97,EndOfLife!$L$63:$P$63,0))</f>
        <v>0</v>
      </c>
      <c r="D110" s="160">
        <f>INDEX(EndOfLife!$L$64:$P$80,MATCH($A110,EndOfLife!$A$64:$A$80,0),MATCH(D$97,EndOfLife!$L$63:$P$63,0))</f>
        <v>0</v>
      </c>
      <c r="E110" s="160">
        <f>INDEX(EndOfLife!$L$64:$P$80,MATCH($A110,EndOfLife!$A$64:$A$80,0),MATCH(E$97,EndOfLife!$L$63:$P$63,0))</f>
        <v>4.9609054289388853E-2</v>
      </c>
      <c r="F110" s="160">
        <f>INDEX(EndOfLife!$T$64:$V$80,MATCH($A110,EndOfLife!$S$64:$S$80,0),MATCH(F$97,EndOfLife!$T$63:$V$63,0))</f>
        <v>0</v>
      </c>
      <c r="G110" s="160">
        <f>INDEX(EndOfLife!$T$64:$V$80,MATCH($A110,EndOfLife!$S$64:$S$80,0),MATCH(G$97,EndOfLife!$T$63:$V$63,0))</f>
        <v>0</v>
      </c>
      <c r="H110" s="160">
        <f>INDEX(EndOfLife!$T$64:$V$80,MATCH($A110,EndOfLife!$S$64:$S$80,0),MATCH(H$97,EndOfLife!$T$63:$V$63,0))</f>
        <v>0</v>
      </c>
      <c r="I110" s="170">
        <f>EndOfLife!Z76</f>
        <v>0</v>
      </c>
      <c r="J110" s="11"/>
      <c r="K110" s="11"/>
    </row>
    <row r="111" spans="1:11" x14ac:dyDescent="0.2">
      <c r="A111" s="159" t="str">
        <f>PlasticsUse!A84</f>
        <v>Polycarbonate</v>
      </c>
      <c r="B111" s="160">
        <f>INDEX(EndOfLife!$L$64:$P$80,MATCH($A111,EndOfLife!$A$64:$A$80,0),MATCH(B$97,EndOfLife!$L$63:$P$63,0))</f>
        <v>0</v>
      </c>
      <c r="C111" s="160">
        <f>INDEX(EndOfLife!$L$64:$P$80,MATCH($A111,EndOfLife!$A$64:$A$80,0),MATCH(C$97,EndOfLife!$L$63:$P$63,0))</f>
        <v>0</v>
      </c>
      <c r="D111" s="160">
        <f>INDEX(EndOfLife!$L$64:$P$80,MATCH($A111,EndOfLife!$A$64:$A$80,0),MATCH(D$97,EndOfLife!$L$63:$P$63,0))</f>
        <v>0.33475785186042639</v>
      </c>
      <c r="E111" s="160">
        <f>INDEX(EndOfLife!$L$64:$P$80,MATCH($A111,EndOfLife!$A$64:$A$80,0),MATCH(E$97,EndOfLife!$L$63:$P$63,0))</f>
        <v>0.29213432958098534</v>
      </c>
      <c r="F111" s="160">
        <f>INDEX(EndOfLife!$T$64:$V$80,MATCH($A111,EndOfLife!$S$64:$S$80,0),MATCH(F$97,EndOfLife!$T$63:$V$63,0))</f>
        <v>0</v>
      </c>
      <c r="G111" s="160">
        <f>INDEX(EndOfLife!$T$64:$V$80,MATCH($A111,EndOfLife!$S$64:$S$80,0),MATCH(G$97,EndOfLife!$T$63:$V$63,0))</f>
        <v>0</v>
      </c>
      <c r="H111" s="160">
        <f>INDEX(EndOfLife!$T$64:$V$80,MATCH($A111,EndOfLife!$S$64:$S$80,0),MATCH(H$97,EndOfLife!$T$63:$V$63,0))</f>
        <v>0</v>
      </c>
      <c r="I111" s="170">
        <f>EndOfLife!Z77</f>
        <v>9.6250000000000002E-2</v>
      </c>
      <c r="J111" s="11"/>
      <c r="K111" s="11"/>
    </row>
    <row r="112" spans="1:11" ht="30" x14ac:dyDescent="0.2">
      <c r="A112" s="159" t="str">
        <f>PlasticsUse!A85</f>
        <v>Styrene butadiene rubber</v>
      </c>
      <c r="B112" s="160">
        <f>INDEX(EndOfLife!$L$64:$P$80,MATCH($A112,EndOfLife!$A$64:$A$80,0),MATCH(B$97,EndOfLife!$L$63:$P$63,0))</f>
        <v>0</v>
      </c>
      <c r="C112" s="160">
        <f>INDEX(EndOfLife!$L$64:$P$80,MATCH($A112,EndOfLife!$A$64:$A$80,0),MATCH(C$97,EndOfLife!$L$63:$P$63,0))</f>
        <v>0.27473425393195783</v>
      </c>
      <c r="D112" s="160">
        <f>INDEX(EndOfLife!$L$64:$P$80,MATCH($A112,EndOfLife!$A$64:$A$80,0),MATCH(D$97,EndOfLife!$L$63:$P$63,0))</f>
        <v>0</v>
      </c>
      <c r="E112" s="160">
        <f>INDEX(EndOfLife!$L$64:$P$80,MATCH($A112,EndOfLife!$A$64:$A$80,0),MATCH(E$97,EndOfLife!$L$63:$P$63,0))</f>
        <v>0.30764512810089029</v>
      </c>
      <c r="F112" s="160">
        <f>INDEX(EndOfLife!$T$64:$V$80,MATCH($A112,EndOfLife!$S$64:$S$80,0),MATCH(F$97,EndOfLife!$T$63:$V$63,0))</f>
        <v>0</v>
      </c>
      <c r="G112" s="160">
        <f>INDEX(EndOfLife!$T$64:$V$80,MATCH($A112,EndOfLife!$S$64:$S$80,0),MATCH(G$97,EndOfLife!$T$63:$V$63,0))</f>
        <v>0</v>
      </c>
      <c r="H112" s="160">
        <f>INDEX(EndOfLife!$T$64:$V$80,MATCH($A112,EndOfLife!$S$64:$S$80,0),MATCH(H$97,EndOfLife!$T$63:$V$63,0))</f>
        <v>0</v>
      </c>
      <c r="I112" s="170">
        <f>EndOfLife!Z78</f>
        <v>0</v>
      </c>
      <c r="J112" s="11"/>
      <c r="K112" s="11"/>
    </row>
    <row r="113" spans="1:11" x14ac:dyDescent="0.2">
      <c r="A113" s="159" t="str">
        <f>PlasticsUse!A86</f>
        <v>Other resins</v>
      </c>
      <c r="B113" s="160">
        <f>INDEX(EndOfLife!$L$64:$P$80,MATCH($A113,EndOfLife!$A$64:$A$80,0),MATCH(B$97,EndOfLife!$L$63:$P$63,0))</f>
        <v>0.31444109994522312</v>
      </c>
      <c r="C113" s="160">
        <f>INDEX(EndOfLife!$L$64:$P$80,MATCH($A113,EndOfLife!$A$64:$A$80,0),MATCH(C$97,EndOfLife!$L$63:$P$63,0))</f>
        <v>0</v>
      </c>
      <c r="D113" s="160">
        <f>INDEX(EndOfLife!$L$64:$P$80,MATCH($A113,EndOfLife!$A$64:$A$80,0),MATCH(D$97,EndOfLife!$L$63:$P$63,0))</f>
        <v>0</v>
      </c>
      <c r="E113" s="160">
        <f>INDEX(EndOfLife!$L$64:$P$80,MATCH($A113,EndOfLife!$A$64:$A$80,0),MATCH(E$97,EndOfLife!$L$63:$P$63,0))</f>
        <v>0.15932149273393825</v>
      </c>
      <c r="F113" s="160">
        <f>INDEX(EndOfLife!$T$64:$V$80,MATCH($A113,EndOfLife!$S$64:$S$80,0),MATCH(F$97,EndOfLife!$T$63:$V$63,0))</f>
        <v>0.13602439485340947</v>
      </c>
      <c r="G113" s="160">
        <f>INDEX(EndOfLife!$T$64:$V$80,MATCH($A113,EndOfLife!$S$64:$S$80,0),MATCH(G$97,EndOfLife!$T$63:$V$63,0))</f>
        <v>7.2945564905118179E-2</v>
      </c>
      <c r="H113" s="160">
        <f>INDEX(EndOfLife!$T$64:$V$80,MATCH($A113,EndOfLife!$S$64:$S$80,0),MATCH(H$97,EndOfLife!$T$63:$V$63,0))</f>
        <v>0.10547114018669546</v>
      </c>
      <c r="I113" s="170">
        <f>EndOfLife!Z79</f>
        <v>7.171252210489075E-2</v>
      </c>
      <c r="J113" s="11"/>
      <c r="K113" s="11"/>
    </row>
    <row r="114" spans="1:11" x14ac:dyDescent="0.2">
      <c r="A114" s="159" t="str">
        <f>PlasticsUse!A87</f>
        <v>Copolymers</v>
      </c>
      <c r="B114" s="160">
        <f>INDEX(EndOfLife!$L$64:$P$80,MATCH($A114,EndOfLife!$A$64:$A$80,0),MATCH(B$97,EndOfLife!$L$63:$P$63,0))</f>
        <v>0.13695285144102914</v>
      </c>
      <c r="C114" s="160">
        <f>INDEX(EndOfLife!$L$64:$P$80,MATCH($A114,EndOfLife!$A$64:$A$80,0),MATCH(C$97,EndOfLife!$L$63:$P$63,0))</f>
        <v>0</v>
      </c>
      <c r="D114" s="160">
        <f>INDEX(EndOfLife!$L$64:$P$80,MATCH($A114,EndOfLife!$A$64:$A$80,0),MATCH(D$97,EndOfLife!$L$63:$P$63,0))</f>
        <v>0</v>
      </c>
      <c r="E114" s="160">
        <f>INDEX(EndOfLife!$L$64:$P$80,MATCH($A114,EndOfLife!$A$64:$A$80,0),MATCH(E$97,EndOfLife!$L$63:$P$63,0))</f>
        <v>6.9391478180031482E-2</v>
      </c>
      <c r="F114" s="160">
        <f>INDEX(EndOfLife!$T$64:$V$80,MATCH($A114,EndOfLife!$S$64:$S$80,0),MATCH(F$97,EndOfLife!$T$63:$V$63,0))</f>
        <v>5.9244573129785233E-2</v>
      </c>
      <c r="G114" s="160">
        <f>INDEX(EndOfLife!$T$64:$V$80,MATCH($A114,EndOfLife!$S$64:$S$80,0),MATCH(G$97,EndOfLife!$T$63:$V$63,0))</f>
        <v>3.1770983867798815E-2</v>
      </c>
      <c r="H114" s="160">
        <f>INDEX(EndOfLife!$T$64:$V$80,MATCH($A114,EndOfLife!$S$64:$S$80,0),MATCH(H$97,EndOfLife!$T$63:$V$63,0))</f>
        <v>4.5937294443445097E-2</v>
      </c>
      <c r="I114" s="170">
        <f>EndOfLife!Z80</f>
        <v>7.1712522104890764E-2</v>
      </c>
      <c r="J114" s="11"/>
      <c r="K114" s="11"/>
    </row>
    <row r="115" spans="1:11" x14ac:dyDescent="0.2">
      <c r="A115" s="159" t="str">
        <f>PlasticsUse!A88</f>
        <v>TOTAL</v>
      </c>
      <c r="B115" s="160">
        <f t="shared" ref="B115:H115" si="1">SUM(B98:B114)</f>
        <v>5.1904731064783274</v>
      </c>
      <c r="C115" s="160">
        <f t="shared" si="1"/>
        <v>0.27473425393195783</v>
      </c>
      <c r="D115" s="160">
        <f t="shared" si="1"/>
        <v>1.7090015531940586</v>
      </c>
      <c r="E115" s="160">
        <f t="shared" si="1"/>
        <v>5.5614504273173555</v>
      </c>
      <c r="F115" s="160">
        <f t="shared" si="1"/>
        <v>2.581029838351669</v>
      </c>
      <c r="G115" s="160">
        <f t="shared" si="1"/>
        <v>1.3409982427290155</v>
      </c>
      <c r="H115" s="160">
        <f t="shared" si="1"/>
        <v>1.5275694242515836</v>
      </c>
      <c r="I115" s="170">
        <f>EndOfLife!Z81</f>
        <v>9.3424585181399289E-2</v>
      </c>
      <c r="J115" s="11"/>
      <c r="K115" s="11"/>
    </row>
    <row r="116" spans="1:11" x14ac:dyDescent="0.2">
      <c r="B116" s="11"/>
      <c r="C116" s="11"/>
      <c r="D116" s="11"/>
      <c r="E116" s="11"/>
      <c r="F116" s="11"/>
      <c r="G116" s="11"/>
      <c r="H116" s="11"/>
      <c r="I116" s="11"/>
      <c r="J116" s="11"/>
      <c r="K116" s="11"/>
    </row>
    <row r="117" spans="1:11" x14ac:dyDescent="0.2">
      <c r="B117" s="11"/>
      <c r="C117" s="11"/>
      <c r="D117" s="11"/>
      <c r="E117" s="11"/>
      <c r="F117" s="11"/>
      <c r="G117" s="11"/>
      <c r="H117" s="11"/>
      <c r="I117" s="11"/>
      <c r="J117" s="11"/>
      <c r="K117" s="11"/>
    </row>
    <row r="118" spans="1:11" x14ac:dyDescent="0.2">
      <c r="B118" s="11"/>
      <c r="C118" s="11"/>
      <c r="D118" s="11"/>
      <c r="E118" s="11"/>
      <c r="F118" s="11"/>
      <c r="G118" s="11"/>
      <c r="H118" s="11"/>
      <c r="I118" s="11"/>
      <c r="J118" s="11"/>
      <c r="K118" s="11"/>
    </row>
    <row r="119" spans="1:11" x14ac:dyDescent="0.2">
      <c r="B119" s="11"/>
      <c r="C119" s="11"/>
      <c r="D119" s="11"/>
      <c r="E119" s="11"/>
      <c r="F119" s="11"/>
      <c r="G119" s="11"/>
      <c r="H119" s="11"/>
      <c r="I119" s="11"/>
      <c r="J119" s="11"/>
      <c r="K119" s="11"/>
    </row>
    <row r="120" spans="1:11" x14ac:dyDescent="0.2">
      <c r="B120" s="11"/>
      <c r="C120" s="11"/>
      <c r="D120" s="11"/>
      <c r="E120" s="11"/>
      <c r="F120" s="11"/>
      <c r="G120" s="11"/>
      <c r="H120" s="11"/>
      <c r="I120" s="11"/>
      <c r="J120" s="11"/>
      <c r="K120" s="11"/>
    </row>
    <row r="121" spans="1:11" ht="19" x14ac:dyDescent="0.25">
      <c r="A121" s="12" t="s">
        <v>354</v>
      </c>
      <c r="B121" s="2"/>
      <c r="C121" s="2"/>
      <c r="D121" s="2"/>
      <c r="E121" s="2"/>
      <c r="F121" s="2"/>
      <c r="G121" s="2"/>
      <c r="H121" s="2"/>
    </row>
    <row r="123" spans="1:11" x14ac:dyDescent="0.2">
      <c r="A123" s="28"/>
      <c r="B123" s="28"/>
      <c r="C123" s="196" t="s">
        <v>351</v>
      </c>
      <c r="D123" s="197"/>
      <c r="E123" s="198"/>
      <c r="F123" s="196" t="s">
        <v>353</v>
      </c>
      <c r="G123" s="197"/>
      <c r="H123" s="198"/>
    </row>
    <row r="124" spans="1:11" ht="30" x14ac:dyDescent="0.2">
      <c r="A124" s="163" t="s">
        <v>76</v>
      </c>
      <c r="B124" s="163" t="s">
        <v>352</v>
      </c>
      <c r="C124" s="163" t="s">
        <v>228</v>
      </c>
      <c r="D124" s="163" t="s">
        <v>229</v>
      </c>
      <c r="E124" s="163" t="s">
        <v>230</v>
      </c>
      <c r="F124" s="163" t="s">
        <v>228</v>
      </c>
      <c r="G124" s="163" t="s">
        <v>229</v>
      </c>
      <c r="H124" s="163" t="s">
        <v>230</v>
      </c>
    </row>
    <row r="125" spans="1:11" x14ac:dyDescent="0.2">
      <c r="A125" s="159" t="s">
        <v>82</v>
      </c>
      <c r="B125" s="164">
        <f>Bandwidth!B33</f>
        <v>15.699549312962873</v>
      </c>
      <c r="C125" s="164">
        <f>Bandwidth!C33</f>
        <v>2.0366908892186042</v>
      </c>
      <c r="D125" s="164">
        <f>Bandwidth!D33</f>
        <v>0</v>
      </c>
      <c r="E125" s="164">
        <f>Bandwidth!E33</f>
        <v>0</v>
      </c>
      <c r="F125" s="164">
        <f>Bandwidth!F33</f>
        <v>0</v>
      </c>
      <c r="G125" s="164">
        <f>Bandwidth!G33</f>
        <v>0</v>
      </c>
      <c r="H125" s="164">
        <f>Bandwidth!H33</f>
        <v>0</v>
      </c>
    </row>
    <row r="126" spans="1:11" x14ac:dyDescent="0.2">
      <c r="A126" s="159" t="s">
        <v>127</v>
      </c>
      <c r="B126" s="164">
        <f>Bandwidth!B34</f>
        <v>1.5314589040056534</v>
      </c>
      <c r="C126" s="164">
        <f>Bandwidth!C34</f>
        <v>1.7104148645049755</v>
      </c>
      <c r="D126" s="164">
        <f>Bandwidth!D34</f>
        <v>1.1402765763366502</v>
      </c>
      <c r="E126" s="164">
        <f>Bandwidth!E34</f>
        <v>0</v>
      </c>
      <c r="F126" s="164">
        <f>Bandwidth!F34</f>
        <v>0.57013828816832501</v>
      </c>
      <c r="G126" s="164">
        <f>Bandwidth!G34</f>
        <v>0.19004609605610812</v>
      </c>
      <c r="H126" s="164">
        <f>Bandwidth!H34</f>
        <v>0</v>
      </c>
    </row>
    <row r="127" spans="1:11" x14ac:dyDescent="0.2">
      <c r="A127" s="159" t="s">
        <v>8</v>
      </c>
      <c r="B127" s="164">
        <f>Bandwidth!B35</f>
        <v>1.4234163603198624</v>
      </c>
      <c r="C127" s="164">
        <f>Bandwidth!C35</f>
        <v>0.87139715198410606</v>
      </c>
      <c r="D127" s="164">
        <f>Bandwidth!D35</f>
        <v>0.19364381155202354</v>
      </c>
      <c r="E127" s="164">
        <v>0</v>
      </c>
      <c r="F127" s="164">
        <f>Bandwidth!F35</f>
        <v>0.67775334043208257</v>
      </c>
      <c r="G127" s="164">
        <f>Bandwidth!G35</f>
        <v>0.19364381155202334</v>
      </c>
      <c r="H127" s="164">
        <f>Bandwidth!H35</f>
        <v>0</v>
      </c>
    </row>
    <row r="128" spans="1:11" x14ac:dyDescent="0.2">
      <c r="A128" s="159" t="s">
        <v>19</v>
      </c>
      <c r="B128" s="164">
        <f>Bandwidth!B36</f>
        <v>1.2351271160029842</v>
      </c>
      <c r="C128" s="164">
        <f>Bandwidth!C36</f>
        <v>0.75612890312816539</v>
      </c>
      <c r="D128" s="164">
        <f>Bandwidth!D36</f>
        <v>0.16802864513959229</v>
      </c>
      <c r="E128" s="164">
        <v>0</v>
      </c>
      <c r="F128" s="164">
        <f>Bandwidth!F36</f>
        <v>0.58810025798857313</v>
      </c>
      <c r="G128" s="164">
        <f>Bandwidth!G36</f>
        <v>0.16802864513959209</v>
      </c>
      <c r="H128" s="164">
        <f>Bandwidth!H36</f>
        <v>0</v>
      </c>
    </row>
    <row r="129" spans="1:8" x14ac:dyDescent="0.2">
      <c r="A129" s="159" t="s">
        <v>1</v>
      </c>
      <c r="B129" s="164">
        <f>Bandwidth!B37</f>
        <v>1.6348107387684552</v>
      </c>
      <c r="C129" s="164">
        <f>Bandwidth!C37</f>
        <v>0</v>
      </c>
      <c r="D129" s="164">
        <f>Bandwidth!D37</f>
        <v>0</v>
      </c>
      <c r="E129" s="164">
        <f>Bandwidth!E37</f>
        <v>0</v>
      </c>
      <c r="F129" s="164">
        <f>Bandwidth!F37</f>
        <v>0</v>
      </c>
      <c r="G129" s="164">
        <f>Bandwidth!G37</f>
        <v>0</v>
      </c>
      <c r="H129" s="164">
        <f>Bandwidth!H37</f>
        <v>0</v>
      </c>
    </row>
    <row r="130" spans="1:8" x14ac:dyDescent="0.2">
      <c r="A130" s="159" t="s">
        <v>10</v>
      </c>
      <c r="B130" s="164">
        <f>Bandwidth!B38</f>
        <v>1.4753242234518262</v>
      </c>
      <c r="C130" s="164">
        <f>Bandwidth!C38</f>
        <v>0.36150292806583351</v>
      </c>
      <c r="D130" s="164">
        <f>Bandwidth!D38</f>
        <v>0.18075146403291675</v>
      </c>
      <c r="E130" s="164">
        <f>Bandwidth!E38</f>
        <v>0</v>
      </c>
      <c r="F130" s="164">
        <f>Bandwidth!F38</f>
        <v>0.27112719604937524</v>
      </c>
      <c r="G130" s="164">
        <f>Bandwidth!G38</f>
        <v>0</v>
      </c>
      <c r="H130" s="164">
        <f>Bandwidth!H38</f>
        <v>0</v>
      </c>
    </row>
    <row r="131" spans="1:8" x14ac:dyDescent="0.2">
      <c r="A131" s="159" t="s">
        <v>11</v>
      </c>
      <c r="B131" s="164">
        <f>Bandwidth!B39</f>
        <v>1.3171386528375322</v>
      </c>
      <c r="C131" s="164">
        <f>Bandwidth!C39</f>
        <v>0.33724851550185564</v>
      </c>
      <c r="D131" s="164">
        <f>Bandwidth!D39</f>
        <v>0.16862425775092782</v>
      </c>
      <c r="E131" s="164">
        <f>Bandwidth!E39</f>
        <v>0</v>
      </c>
      <c r="F131" s="164">
        <f>Bandwidth!F39</f>
        <v>0.25293638662639184</v>
      </c>
      <c r="G131" s="164">
        <f>Bandwidth!G39</f>
        <v>0</v>
      </c>
      <c r="H131" s="164">
        <f>Bandwidth!H39</f>
        <v>0</v>
      </c>
    </row>
    <row r="132" spans="1:8" x14ac:dyDescent="0.2">
      <c r="A132" s="159" t="s">
        <v>25</v>
      </c>
      <c r="B132" s="164">
        <f>Bandwidth!B40</f>
        <v>1.3525545204591718</v>
      </c>
      <c r="C132" s="164">
        <f>Bandwidth!C40</f>
        <v>0.34631661835866362</v>
      </c>
      <c r="D132" s="164">
        <f>Bandwidth!D40</f>
        <v>0.17315830917933181</v>
      </c>
      <c r="E132" s="164">
        <f>Bandwidth!E40</f>
        <v>0</v>
      </c>
      <c r="F132" s="164">
        <f>Bandwidth!F40</f>
        <v>0.25973746376899781</v>
      </c>
      <c r="G132" s="164">
        <f>Bandwidth!G40</f>
        <v>0</v>
      </c>
      <c r="H132" s="164">
        <f>Bandwidth!H40</f>
        <v>0</v>
      </c>
    </row>
    <row r="133" spans="1:8" x14ac:dyDescent="0.2">
      <c r="A133" s="159" t="s">
        <v>7</v>
      </c>
      <c r="B133" s="164">
        <f>Bandwidth!B41</f>
        <v>1.4328079188353258</v>
      </c>
      <c r="C133" s="164">
        <f>Bandwidth!C41</f>
        <v>1.6832544537612097</v>
      </c>
      <c r="D133" s="164">
        <f>Bandwidth!D41</f>
        <v>0.88592339671642617</v>
      </c>
      <c r="E133" s="164">
        <f>Bandwidth!E41</f>
        <v>0</v>
      </c>
      <c r="F133" s="164">
        <f>Bandwidth!F41</f>
        <v>0.88592339671642617</v>
      </c>
      <c r="G133" s="164">
        <f>Bandwidth!G41</f>
        <v>0.62014637770149827</v>
      </c>
      <c r="H133" s="164">
        <f>Bandwidth!H41</f>
        <v>0</v>
      </c>
    </row>
    <row r="134" spans="1:8" x14ac:dyDescent="0.2">
      <c r="A134" s="159" t="s">
        <v>2</v>
      </c>
      <c r="B134" s="164">
        <f>Bandwidth!B42</f>
        <v>2.6502770798950683</v>
      </c>
      <c r="C134" s="164">
        <f>Bandwidth!C42</f>
        <v>0</v>
      </c>
      <c r="D134" s="164">
        <f>Bandwidth!D42</f>
        <v>0</v>
      </c>
      <c r="E134" s="164">
        <f>Bandwidth!E42</f>
        <v>0</v>
      </c>
      <c r="F134" s="164">
        <f>Bandwidth!F42</f>
        <v>0</v>
      </c>
      <c r="G134" s="164">
        <f>Bandwidth!G42</f>
        <v>0</v>
      </c>
      <c r="H134" s="164">
        <f>Bandwidth!H42</f>
        <v>0</v>
      </c>
    </row>
    <row r="135" spans="1:8" x14ac:dyDescent="0.2">
      <c r="A135" s="159" t="s">
        <v>30</v>
      </c>
      <c r="B135" s="164">
        <f>Bandwidth!B43</f>
        <v>1.0583449275972416</v>
      </c>
      <c r="C135" s="164">
        <f>Bandwidth!C43</f>
        <v>0.80877431095444985</v>
      </c>
      <c r="D135" s="164">
        <f>Bandwidth!D43</f>
        <v>0.40438715547722481</v>
      </c>
      <c r="E135" s="164">
        <f>Bandwidth!E43</f>
        <v>0</v>
      </c>
      <c r="F135" s="164">
        <f>Bandwidth!F43</f>
        <v>0.28884796819801783</v>
      </c>
      <c r="G135" s="164">
        <f>Bandwidth!G43</f>
        <v>0</v>
      </c>
      <c r="H135" s="164">
        <f>Bandwidth!H43</f>
        <v>0</v>
      </c>
    </row>
    <row r="136" spans="1:8" x14ac:dyDescent="0.2">
      <c r="A136" s="159" t="s">
        <v>31</v>
      </c>
      <c r="B136" s="164">
        <f>Bandwidth!B44</f>
        <v>0.69076283180579534</v>
      </c>
      <c r="C136" s="164">
        <f>Bandwidth!C44</f>
        <v>0.19616833849364052</v>
      </c>
      <c r="D136" s="164">
        <f>Bandwidth!D44</f>
        <v>0.19616833849364063</v>
      </c>
      <c r="E136" s="164">
        <f>Bandwidth!E44</f>
        <v>0</v>
      </c>
      <c r="F136" s="164">
        <f>Bandwidth!F44</f>
        <v>0.14712625387023046</v>
      </c>
      <c r="G136" s="164">
        <f>Bandwidth!G44</f>
        <v>9.8084169246820258E-2</v>
      </c>
      <c r="H136" s="164">
        <f>Bandwidth!H44</f>
        <v>0</v>
      </c>
    </row>
    <row r="137" spans="1:8" x14ac:dyDescent="0.2">
      <c r="A137" s="159" t="s">
        <v>122</v>
      </c>
      <c r="B137" s="164">
        <f>Bandwidth!B45</f>
        <v>0.54101126897570861</v>
      </c>
      <c r="C137" s="164">
        <f>Bandwidth!C45</f>
        <v>5.9062032326509736E-2</v>
      </c>
      <c r="D137" s="164">
        <f>Bandwidth!D45</f>
        <v>0</v>
      </c>
      <c r="E137" s="164">
        <f>Bandwidth!E45</f>
        <v>0</v>
      </c>
      <c r="F137" s="164">
        <f>Bandwidth!F45</f>
        <v>0</v>
      </c>
      <c r="G137" s="164">
        <f>Bandwidth!G45</f>
        <v>0</v>
      </c>
      <c r="H137" s="164">
        <f>Bandwidth!H45</f>
        <v>0</v>
      </c>
    </row>
    <row r="138" spans="1:8" x14ac:dyDescent="0.2">
      <c r="A138" s="159" t="s">
        <v>32</v>
      </c>
      <c r="B138" s="164">
        <f>Bandwidth!B46</f>
        <v>2.8511114742513297</v>
      </c>
      <c r="C138" s="164">
        <f>Bandwidth!C46</f>
        <v>0.69560073113854815</v>
      </c>
      <c r="D138" s="164">
        <f>Bandwidth!D46</f>
        <v>0.34780036556927446</v>
      </c>
      <c r="E138" s="164">
        <f>Bandwidth!E46</f>
        <v>0</v>
      </c>
      <c r="F138" s="164">
        <f>Bandwidth!F46</f>
        <v>0.34780036556927407</v>
      </c>
      <c r="G138" s="164">
        <f>Bandwidth!G46</f>
        <v>0.34780036556927446</v>
      </c>
      <c r="H138" s="164">
        <f>Bandwidth!H46</f>
        <v>0</v>
      </c>
    </row>
    <row r="139" spans="1:8" ht="30" x14ac:dyDescent="0.2">
      <c r="A139" s="159" t="s">
        <v>105</v>
      </c>
      <c r="B139" s="164">
        <f>Bandwidth!B47</f>
        <v>0.30528040243506777</v>
      </c>
      <c r="C139" s="164">
        <f>Bandwidth!C47</f>
        <v>0.16865535904890397</v>
      </c>
      <c r="D139" s="164">
        <f>Bandwidth!D47</f>
        <v>0.16865535904890397</v>
      </c>
      <c r="E139" s="164">
        <f>Bandwidth!E47</f>
        <v>0</v>
      </c>
      <c r="F139" s="164">
        <f>Bandwidth!F47</f>
        <v>0.17220599818677562</v>
      </c>
      <c r="G139" s="164">
        <f>Bandwidth!G47</f>
        <v>8.3440019739984064E-2</v>
      </c>
      <c r="H139" s="164">
        <f>Bandwidth!H47</f>
        <v>0</v>
      </c>
    </row>
    <row r="140" spans="1:8" x14ac:dyDescent="0.2">
      <c r="A140" s="159" t="s">
        <v>576</v>
      </c>
      <c r="B140" s="164">
        <f>Bandwidth!B48</f>
        <v>1.5285097038586184</v>
      </c>
      <c r="C140" s="164">
        <f>Bandwidth!C48</f>
        <v>1.7071210407159758</v>
      </c>
      <c r="D140" s="164">
        <f>Bandwidth!D48</f>
        <v>1.1380806938106505</v>
      </c>
      <c r="E140" s="164">
        <f>Bandwidth!E48</f>
        <v>0</v>
      </c>
      <c r="F140" s="164">
        <f>Bandwidth!F48</f>
        <v>0.56904034690532512</v>
      </c>
      <c r="G140" s="164">
        <f>Bandwidth!G48</f>
        <v>0.18968011563510817</v>
      </c>
      <c r="H140" s="164">
        <f>Bandwidth!H48</f>
        <v>0</v>
      </c>
    </row>
    <row r="141" spans="1:8" x14ac:dyDescent="0.2">
      <c r="A141" s="159" t="s">
        <v>575</v>
      </c>
      <c r="B141" s="164">
        <f>Bandwidth!B49</f>
        <v>0.66573282702289094</v>
      </c>
      <c r="C141" s="164">
        <f>Bandwidth!C49</f>
        <v>0.74352587598045583</v>
      </c>
      <c r="D141" s="164">
        <f>Bandwidth!D49</f>
        <v>0.49568391732030387</v>
      </c>
      <c r="E141" s="164">
        <f>Bandwidth!E49</f>
        <v>0</v>
      </c>
      <c r="F141" s="164">
        <f>Bandwidth!F49</f>
        <v>0.24784195866015191</v>
      </c>
      <c r="G141" s="164">
        <f>Bandwidth!G49</f>
        <v>8.2613986220050534E-2</v>
      </c>
      <c r="H141" s="164">
        <f>Bandwidth!H49</f>
        <v>0</v>
      </c>
    </row>
    <row r="142" spans="1:8" x14ac:dyDescent="0.2">
      <c r="A142" s="159" t="s">
        <v>93</v>
      </c>
      <c r="B142" s="164">
        <f>SUM(B125:B141)</f>
        <v>37.393218263485409</v>
      </c>
      <c r="C142" s="164">
        <f t="shared" ref="C142:H142" si="2">SUM(C125:C141)</f>
        <v>12.481862013181898</v>
      </c>
      <c r="D142" s="164">
        <f t="shared" si="2"/>
        <v>5.6611822904278659</v>
      </c>
      <c r="E142" s="164">
        <f t="shared" si="2"/>
        <v>0</v>
      </c>
      <c r="F142" s="164">
        <f t="shared" si="2"/>
        <v>5.278579221139946</v>
      </c>
      <c r="G142" s="164">
        <f t="shared" si="2"/>
        <v>1.9734835868604594</v>
      </c>
      <c r="H142" s="164">
        <f t="shared" si="2"/>
        <v>0</v>
      </c>
    </row>
    <row r="143" spans="1:8" x14ac:dyDescent="0.2">
      <c r="A143" s="28"/>
      <c r="B143" s="28"/>
      <c r="C143" s="28"/>
      <c r="D143" s="28"/>
      <c r="E143" s="28"/>
      <c r="F143" s="28"/>
      <c r="G143" s="28"/>
      <c r="H143" s="28"/>
    </row>
    <row r="144" spans="1:8" ht="19" x14ac:dyDescent="0.25">
      <c r="A144" s="12" t="s">
        <v>356</v>
      </c>
      <c r="B144" s="28"/>
      <c r="C144" s="165"/>
      <c r="D144" s="165"/>
      <c r="E144" s="165"/>
      <c r="F144" s="165"/>
      <c r="G144" s="165"/>
      <c r="H144" s="165"/>
    </row>
    <row r="145" spans="1:8" x14ac:dyDescent="0.2">
      <c r="A145" s="28"/>
      <c r="B145" s="28"/>
      <c r="C145" s="196" t="s">
        <v>351</v>
      </c>
      <c r="D145" s="197"/>
      <c r="E145" s="198"/>
      <c r="F145" s="196" t="s">
        <v>353</v>
      </c>
      <c r="G145" s="197"/>
      <c r="H145" s="198"/>
    </row>
    <row r="146" spans="1:8" ht="30" x14ac:dyDescent="0.2">
      <c r="A146" s="163" t="s">
        <v>76</v>
      </c>
      <c r="B146" s="163" t="s">
        <v>235</v>
      </c>
      <c r="C146" s="163" t="s">
        <v>228</v>
      </c>
      <c r="D146" s="163" t="s">
        <v>237</v>
      </c>
      <c r="E146" s="163" t="s">
        <v>236</v>
      </c>
      <c r="F146" s="163" t="s">
        <v>228</v>
      </c>
      <c r="G146" s="163" t="s">
        <v>237</v>
      </c>
      <c r="H146" s="163" t="s">
        <v>236</v>
      </c>
    </row>
    <row r="147" spans="1:8" x14ac:dyDescent="0.2">
      <c r="A147" s="159" t="s">
        <v>82</v>
      </c>
      <c r="B147" s="164">
        <f>Bandwidth!B57</f>
        <v>1.4605624041391865</v>
      </c>
      <c r="C147" s="164">
        <f>Bandwidth!C57</f>
        <v>16.293527113748819</v>
      </c>
      <c r="D147" s="164">
        <f>Bandwidth!D57</f>
        <v>20.366908892186029</v>
      </c>
      <c r="E147" s="164">
        <f>Bandwidth!E57</f>
        <v>20.366908892186029</v>
      </c>
      <c r="F147" s="164">
        <f>Bandwidth!F57</f>
        <v>20.366908892186025</v>
      </c>
      <c r="G147" s="164">
        <f>Bandwidth!G57</f>
        <v>20.366908892186029</v>
      </c>
      <c r="H147" s="164">
        <f>Bandwidth!H57</f>
        <v>20.366908892186025</v>
      </c>
    </row>
    <row r="148" spans="1:8" x14ac:dyDescent="0.2">
      <c r="A148" s="159" t="s">
        <v>127</v>
      </c>
      <c r="B148" s="164">
        <f>Bandwidth!B58</f>
        <v>0.13628684864371868</v>
      </c>
      <c r="C148" s="164">
        <f>Bandwidth!C58</f>
        <v>0</v>
      </c>
      <c r="D148" s="164">
        <f>Bandwidth!D58</f>
        <v>0</v>
      </c>
      <c r="E148" s="164">
        <f>Bandwidth!E58</f>
        <v>0</v>
      </c>
      <c r="F148" s="164">
        <f>Bandwidth!F58</f>
        <v>1.1402765763366502</v>
      </c>
      <c r="G148" s="164">
        <f>Bandwidth!G58</f>
        <v>1.6153918164769214</v>
      </c>
      <c r="H148" s="164">
        <f>Bandwidth!H58</f>
        <v>1.9004609605610838</v>
      </c>
    </row>
    <row r="149" spans="1:8" x14ac:dyDescent="0.2">
      <c r="A149" s="159" t="s">
        <v>8</v>
      </c>
      <c r="B149" s="164">
        <f>Bandwidth!B59</f>
        <v>9.0143106420287389E-2</v>
      </c>
      <c r="C149" s="164">
        <f>Bandwidth!C59</f>
        <v>0.29046571732803539</v>
      </c>
      <c r="D149" s="164">
        <f>Bandwidth!D59</f>
        <v>0.38728762310404719</v>
      </c>
      <c r="E149" s="164">
        <f>Bandwidth!E59</f>
        <v>0.48410952888005898</v>
      </c>
      <c r="F149" s="164">
        <f>Bandwidth!F59</f>
        <v>1.0650409635361298</v>
      </c>
      <c r="G149" s="164">
        <f>Bandwidth!G59</f>
        <v>1.6459723981922008</v>
      </c>
      <c r="H149" s="164">
        <f>Bandwidth!H59</f>
        <v>1.9364381155202359</v>
      </c>
    </row>
    <row r="150" spans="1:8" x14ac:dyDescent="0.2">
      <c r="A150" s="159" t="s">
        <v>19</v>
      </c>
      <c r="B150" s="164">
        <f>Bandwidth!B60</f>
        <v>7.8218993517413515E-2</v>
      </c>
      <c r="C150" s="164">
        <f>Bandwidth!C60</f>
        <v>0.2520429677093885</v>
      </c>
      <c r="D150" s="164">
        <f>Bandwidth!D60</f>
        <v>0.33605729027918468</v>
      </c>
      <c r="E150" s="164">
        <f>Bandwidth!E60</f>
        <v>0.42007161284898081</v>
      </c>
      <c r="F150" s="164">
        <f>Bandwidth!F60</f>
        <v>0.67211458055836937</v>
      </c>
      <c r="G150" s="164">
        <f>Bandwidth!G60</f>
        <v>1.3442291611167387</v>
      </c>
      <c r="H150" s="164">
        <f>Bandwidth!H60</f>
        <v>1.6802864513959233</v>
      </c>
    </row>
    <row r="151" spans="1:8" x14ac:dyDescent="0.2">
      <c r="A151" s="159" t="s">
        <v>1</v>
      </c>
      <c r="B151" s="164">
        <f>Bandwidth!B61</f>
        <v>0.18426848892856054</v>
      </c>
      <c r="C151" s="164">
        <f>Bandwidth!C61</f>
        <v>2.1148190559321778</v>
      </c>
      <c r="D151" s="164">
        <f>Bandwidth!D61</f>
        <v>2.1148190559321778</v>
      </c>
      <c r="E151" s="164">
        <f>Bandwidth!E61</f>
        <v>2.1148190559321778</v>
      </c>
      <c r="F151" s="164">
        <f>Bandwidth!F61</f>
        <v>2.1148190559321778</v>
      </c>
      <c r="G151" s="164">
        <f>Bandwidth!G61</f>
        <v>2.3497989510357531</v>
      </c>
      <c r="H151" s="164">
        <f>Bandwidth!H61</f>
        <v>2.3497989510357531</v>
      </c>
    </row>
    <row r="152" spans="1:8" x14ac:dyDescent="0.2">
      <c r="A152" s="159" t="s">
        <v>10</v>
      </c>
      <c r="B152" s="164">
        <f>Bandwidth!B62</f>
        <v>0</v>
      </c>
      <c r="C152" s="164">
        <f>Bandwidth!C62</f>
        <v>0.72300585613166712</v>
      </c>
      <c r="D152" s="164">
        <f>Bandwidth!D62</f>
        <v>1.0845087841975007</v>
      </c>
      <c r="E152" s="164">
        <f>Bandwidth!E62</f>
        <v>1.1748845162139592</v>
      </c>
      <c r="F152" s="164">
        <f>Bandwidth!F62</f>
        <v>1.0845087841975007</v>
      </c>
      <c r="G152" s="164">
        <f>Bandwidth!G62</f>
        <v>1.807514640329168</v>
      </c>
      <c r="H152" s="164">
        <f>Bandwidth!H62</f>
        <v>1.807514640329168</v>
      </c>
    </row>
    <row r="153" spans="1:8" x14ac:dyDescent="0.2">
      <c r="A153" s="159" t="s">
        <v>11</v>
      </c>
      <c r="B153" s="164">
        <f>Bandwidth!B63</f>
        <v>1.8055670057129148E-2</v>
      </c>
      <c r="C153" s="164">
        <f>Bandwidth!C63</f>
        <v>0.67449703100371139</v>
      </c>
      <c r="D153" s="164">
        <f>Bandwidth!D63</f>
        <v>1.0117455465055671</v>
      </c>
      <c r="E153" s="164">
        <f>Bandwidth!E63</f>
        <v>1.0960576753810312</v>
      </c>
      <c r="F153" s="164">
        <f>Bandwidth!F63</f>
        <v>1.0117455465055671</v>
      </c>
      <c r="G153" s="164">
        <f>Bandwidth!G63</f>
        <v>1.6862425775092786</v>
      </c>
      <c r="H153" s="164">
        <f>Bandwidth!H63</f>
        <v>1.6862425775092786</v>
      </c>
    </row>
    <row r="154" spans="1:8" x14ac:dyDescent="0.2">
      <c r="A154" s="159" t="s">
        <v>25</v>
      </c>
      <c r="B154" s="164">
        <f>Bandwidth!B64</f>
        <v>1.8541159735217094E-2</v>
      </c>
      <c r="C154" s="164">
        <f>Bandwidth!C64</f>
        <v>0.69263323671732724</v>
      </c>
      <c r="D154" s="164">
        <f>Bandwidth!D64</f>
        <v>1.038949855075991</v>
      </c>
      <c r="E154" s="164">
        <f>Bandwidth!E64</f>
        <v>1.1255290096656569</v>
      </c>
      <c r="F154" s="164">
        <f>Bandwidth!F64</f>
        <v>1.038949855075991</v>
      </c>
      <c r="G154" s="164">
        <f>Bandwidth!G64</f>
        <v>1.7315830917933184</v>
      </c>
      <c r="H154" s="164">
        <f>Bandwidth!H64</f>
        <v>1.7315830917933184</v>
      </c>
    </row>
    <row r="155" spans="1:8" x14ac:dyDescent="0.2">
      <c r="A155" s="159" t="s">
        <v>7</v>
      </c>
      <c r="B155" s="164">
        <f>Bandwidth!B65</f>
        <v>0</v>
      </c>
      <c r="C155" s="164">
        <f>Bandwidth!C65</f>
        <v>8.8592339671642623E-2</v>
      </c>
      <c r="D155" s="164">
        <f>Bandwidth!D65</f>
        <v>0.88592339671642617</v>
      </c>
      <c r="E155" s="164">
        <f>Bandwidth!E65</f>
        <v>1.7718467934328523</v>
      </c>
      <c r="F155" s="164">
        <f>Bandwidth!F65</f>
        <v>0.88592339671642617</v>
      </c>
      <c r="G155" s="164">
        <f>Bandwidth!G65</f>
        <v>1.151700415731354</v>
      </c>
      <c r="H155" s="164">
        <f>Bandwidth!H65</f>
        <v>1.7718467934328523</v>
      </c>
    </row>
    <row r="156" spans="1:8" x14ac:dyDescent="0.2">
      <c r="A156" s="159" t="s">
        <v>2</v>
      </c>
      <c r="B156" s="164">
        <f>Bandwidth!B66</f>
        <v>0.3996841989269615</v>
      </c>
      <c r="C156" s="164">
        <f>Bandwidth!C66</f>
        <v>3.8138937580082017</v>
      </c>
      <c r="D156" s="164">
        <f>Bandwidth!D66</f>
        <v>3.8138937580082017</v>
      </c>
      <c r="E156" s="164">
        <f>Bandwidth!E66</f>
        <v>3.8138937580082017</v>
      </c>
      <c r="F156" s="164">
        <f>Bandwidth!F66</f>
        <v>3.8138937580082017</v>
      </c>
      <c r="G156" s="164">
        <f>Bandwidth!G66</f>
        <v>3.8138937580082017</v>
      </c>
      <c r="H156" s="164">
        <f>Bandwidth!H66</f>
        <v>3.8138937580082017</v>
      </c>
    </row>
    <row r="157" spans="1:8" x14ac:dyDescent="0.2">
      <c r="A157" s="159" t="s">
        <v>30</v>
      </c>
      <c r="B157" s="164">
        <f>Bandwidth!B67</f>
        <v>0</v>
      </c>
      <c r="C157" s="164">
        <f>Bandwidth!C67</f>
        <v>0.23107837455841429</v>
      </c>
      <c r="D157" s="164">
        <f>Bandwidth!D67</f>
        <v>0.69323512367524287</v>
      </c>
      <c r="E157" s="164">
        <f>Bandwidth!E67</f>
        <v>1.1553918727920711</v>
      </c>
      <c r="F157" s="164">
        <f>Bandwidth!F67</f>
        <v>0.75100471731484642</v>
      </c>
      <c r="G157" s="164">
        <f>Bandwidth!G67</f>
        <v>1.1553918727920713</v>
      </c>
      <c r="H157" s="164">
        <f>Bandwidth!H67</f>
        <v>1.1553918727920713</v>
      </c>
    </row>
    <row r="158" spans="1:8" x14ac:dyDescent="0.2">
      <c r="A158" s="159" t="s">
        <v>31</v>
      </c>
      <c r="B158" s="164">
        <f>Bandwidth!B68</f>
        <v>0</v>
      </c>
      <c r="C158" s="164">
        <f>Bandwidth!C68</f>
        <v>0.78467335397456228</v>
      </c>
      <c r="D158" s="164">
        <f>Bandwidth!D68</f>
        <v>0.686589184727742</v>
      </c>
      <c r="E158" s="164">
        <f>Bandwidth!E68</f>
        <v>0.98084169246820285</v>
      </c>
      <c r="F158" s="164">
        <f>Bandwidth!F68</f>
        <v>0.83371543859797237</v>
      </c>
      <c r="G158" s="164">
        <f>Bandwidth!G68</f>
        <v>0.88275752322138257</v>
      </c>
      <c r="H158" s="164">
        <f>Bandwidth!H68</f>
        <v>0.98084169246820285</v>
      </c>
    </row>
    <row r="159" spans="1:8" x14ac:dyDescent="0.2">
      <c r="A159" s="159" t="s">
        <v>122</v>
      </c>
      <c r="B159" s="164">
        <f>Bandwidth!B69</f>
        <v>0</v>
      </c>
      <c r="C159" s="164">
        <f>Bandwidth!C69</f>
        <v>0.472496258612078</v>
      </c>
      <c r="D159" s="164">
        <f>Bandwidth!D69</f>
        <v>0.53155829093858775</v>
      </c>
      <c r="E159" s="164">
        <f>Bandwidth!E69</f>
        <v>0.53155829093858775</v>
      </c>
      <c r="F159" s="164">
        <f>Bandwidth!F69</f>
        <v>0.53155829093858775</v>
      </c>
      <c r="G159" s="164">
        <f>Bandwidth!G69</f>
        <v>0.59062032326509739</v>
      </c>
      <c r="H159" s="164">
        <f>Bandwidth!H69</f>
        <v>0.5906203232650975</v>
      </c>
    </row>
    <row r="160" spans="1:8" x14ac:dyDescent="0.2">
      <c r="A160" s="159" t="s">
        <v>32</v>
      </c>
      <c r="B160" s="164">
        <f>Bandwidth!B70</f>
        <v>0</v>
      </c>
      <c r="C160" s="164">
        <f>Bandwidth!C70</f>
        <v>2.7824029245541935</v>
      </c>
      <c r="D160" s="164">
        <f>Bandwidth!D70</f>
        <v>2.782402924554193</v>
      </c>
      <c r="E160" s="164">
        <f>Bandwidth!E70</f>
        <v>3.4780036556927416</v>
      </c>
      <c r="F160" s="164">
        <f>Bandwidth!F70</f>
        <v>3.1302032901234673</v>
      </c>
      <c r="G160" s="164">
        <f>Bandwidth!G70</f>
        <v>3.1302032901234673</v>
      </c>
      <c r="H160" s="164">
        <f>Bandwidth!H70</f>
        <v>3.4780036556927416</v>
      </c>
    </row>
    <row r="161" spans="1:8" ht="30" x14ac:dyDescent="0.2">
      <c r="A161" s="159" t="s">
        <v>105</v>
      </c>
      <c r="B161" s="164">
        <f>Bandwidth!B71</f>
        <v>0.27473425393195783</v>
      </c>
      <c r="C161" s="164">
        <f>Bandwidth!C71</f>
        <v>0.71900442541901188</v>
      </c>
      <c r="D161" s="164">
        <f>Bandwidth!D71</f>
        <v>0.71900442541901188</v>
      </c>
      <c r="E161" s="164">
        <f>Bandwidth!E71</f>
        <v>0.71900442541901188</v>
      </c>
      <c r="F161" s="164">
        <f>Bandwidth!F71</f>
        <v>0.7154537862811402</v>
      </c>
      <c r="G161" s="164">
        <f>Bandwidth!G71</f>
        <v>0.80421976472793177</v>
      </c>
      <c r="H161" s="164">
        <f>Bandwidth!H71</f>
        <v>0.88765978446791582</v>
      </c>
    </row>
    <row r="162" spans="1:8" x14ac:dyDescent="0.2">
      <c r="A162" s="159" t="s">
        <v>576</v>
      </c>
      <c r="B162" s="164">
        <f>Bandwidth!B72</f>
        <v>0.13602439485340947</v>
      </c>
      <c r="C162" s="164">
        <f>Bandwidth!C72</f>
        <v>0</v>
      </c>
      <c r="D162" s="164">
        <f>Bandwidth!D72</f>
        <v>0</v>
      </c>
      <c r="E162" s="164">
        <f>Bandwidth!E72</f>
        <v>0</v>
      </c>
      <c r="F162" s="164">
        <f>Bandwidth!F72</f>
        <v>0.85356052035798791</v>
      </c>
      <c r="G162" s="164">
        <f>Bandwidth!G72</f>
        <v>1.5174409250808676</v>
      </c>
      <c r="H162" s="164">
        <f>Bandwidth!H72</f>
        <v>1.8968011563510843</v>
      </c>
    </row>
    <row r="163" spans="1:8" x14ac:dyDescent="0.2">
      <c r="A163" s="159" t="s">
        <v>575</v>
      </c>
      <c r="B163" s="164">
        <f>Bandwidth!B73</f>
        <v>5.9244573129785233E-2</v>
      </c>
      <c r="C163" s="164">
        <f>Bandwidth!C73</f>
        <v>0</v>
      </c>
      <c r="D163" s="164">
        <f>Bandwidth!D73</f>
        <v>0</v>
      </c>
      <c r="E163" s="164">
        <f>Bandwidth!E73</f>
        <v>0</v>
      </c>
      <c r="F163" s="164">
        <f>Bandwidth!F73</f>
        <v>0.37176293799022792</v>
      </c>
      <c r="G163" s="164">
        <f>Bandwidth!G73</f>
        <v>0.66091188976040527</v>
      </c>
      <c r="H163" s="164">
        <f>Bandwidth!H73</f>
        <v>0.8261398622005065</v>
      </c>
    </row>
    <row r="164" spans="1:8" x14ac:dyDescent="0.2">
      <c r="A164" s="159" t="s">
        <v>93</v>
      </c>
      <c r="B164" s="164">
        <f>SUM(B147:B163)</f>
        <v>2.8557640922836267</v>
      </c>
      <c r="C164" s="164">
        <f t="shared" ref="C164" si="3">SUM(C147:C163)</f>
        <v>29.933132413369233</v>
      </c>
      <c r="D164" s="164">
        <f t="shared" ref="D164" si="4">SUM(D147:D163)</f>
        <v>36.4528841513199</v>
      </c>
      <c r="E164" s="164">
        <f t="shared" ref="E164" si="5">SUM(E147:E163)</f>
        <v>39.232920779859562</v>
      </c>
      <c r="F164" s="164">
        <f t="shared" ref="F164" si="6">SUM(F147:F163)</f>
        <v>40.381440390657261</v>
      </c>
      <c r="G164" s="164">
        <f t="shared" ref="G164" si="7">SUM(G147:G163)</f>
        <v>46.254781291350191</v>
      </c>
      <c r="H164" s="164">
        <f t="shared" ref="H164" si="8">SUM(H147:H163)</f>
        <v>48.860432579009448</v>
      </c>
    </row>
  </sheetData>
  <mergeCells count="12">
    <mergeCell ref="F3:I3"/>
    <mergeCell ref="B3:E3"/>
    <mergeCell ref="C23:E23"/>
    <mergeCell ref="F23:H23"/>
    <mergeCell ref="C32:D32"/>
    <mergeCell ref="B53:L53"/>
    <mergeCell ref="C123:E123"/>
    <mergeCell ref="F123:H123"/>
    <mergeCell ref="C145:E145"/>
    <mergeCell ref="F145:H145"/>
    <mergeCell ref="B96:I96"/>
    <mergeCell ref="B74:D74"/>
  </mergeCells>
  <pageMargins left="0.7" right="0.7" top="0.75" bottom="0.75" header="0.3" footer="0.3"/>
  <pageSetup orientation="portrait" horizontalDpi="0" verticalDpi="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7B387A-07A4-1549-92C1-C38257AFD59D}">
  <dimension ref="A1:B23"/>
  <sheetViews>
    <sheetView zoomScale="120" zoomScaleNormal="120" workbookViewId="0">
      <selection activeCell="G17" sqref="G17"/>
    </sheetView>
  </sheetViews>
  <sheetFormatPr baseColWidth="10" defaultRowHeight="16" x14ac:dyDescent="0.2"/>
  <sheetData>
    <row r="1" spans="1:2" ht="19" x14ac:dyDescent="0.25">
      <c r="A1" s="12" t="s">
        <v>72</v>
      </c>
    </row>
    <row r="3" spans="1:2" x14ac:dyDescent="0.2">
      <c r="A3" t="s">
        <v>73</v>
      </c>
      <c r="B3">
        <f>1*0.453592</f>
        <v>0.453592</v>
      </c>
    </row>
    <row r="4" spans="1:2" x14ac:dyDescent="0.2">
      <c r="A4" t="s">
        <v>74</v>
      </c>
      <c r="B4">
        <f>1/1000</f>
        <v>1E-3</v>
      </c>
    </row>
    <row r="5" spans="1:2" x14ac:dyDescent="0.2">
      <c r="A5" t="s">
        <v>98</v>
      </c>
      <c r="B5">
        <f>1/1.1</f>
        <v>0.90909090909090906</v>
      </c>
    </row>
    <row r="9" spans="1:2" ht="19" x14ac:dyDescent="0.25">
      <c r="A9" s="12" t="s">
        <v>268</v>
      </c>
    </row>
    <row r="11" spans="1:2" x14ac:dyDescent="0.2">
      <c r="A11" s="2" t="s">
        <v>269</v>
      </c>
    </row>
    <row r="12" spans="1:2" x14ac:dyDescent="0.2">
      <c r="A12" t="s">
        <v>270</v>
      </c>
    </row>
    <row r="13" spans="1:2" x14ac:dyDescent="0.2">
      <c r="A13" t="s">
        <v>271</v>
      </c>
    </row>
    <row r="15" spans="1:2" x14ac:dyDescent="0.2">
      <c r="A15" s="2" t="s">
        <v>334</v>
      </c>
    </row>
    <row r="16" spans="1:2" x14ac:dyDescent="0.2">
      <c r="A16" t="s">
        <v>330</v>
      </c>
    </row>
    <row r="17" spans="1:2" x14ac:dyDescent="0.2">
      <c r="A17" t="s">
        <v>335</v>
      </c>
    </row>
    <row r="18" spans="1:2" x14ac:dyDescent="0.2">
      <c r="A18" t="s">
        <v>287</v>
      </c>
    </row>
    <row r="20" spans="1:2" x14ac:dyDescent="0.2">
      <c r="A20" s="2" t="s">
        <v>860</v>
      </c>
    </row>
    <row r="21" spans="1:2" ht="34" x14ac:dyDescent="0.2">
      <c r="A21" s="28" t="s">
        <v>861</v>
      </c>
      <c r="B21" s="23">
        <f>(1.06-1)/1</f>
        <v>6.0000000000000053E-2</v>
      </c>
    </row>
    <row r="22" spans="1:2" x14ac:dyDescent="0.2">
      <c r="A22" t="s">
        <v>889</v>
      </c>
      <c r="B22" s="24">
        <f>(1-0.86)/1</f>
        <v>0.14000000000000001</v>
      </c>
    </row>
    <row r="23" spans="1:2" x14ac:dyDescent="0.2">
      <c r="A23" t="s">
        <v>863</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70A975-9710-D844-87EC-0FAC2A177031}">
  <dimension ref="A1:E395"/>
  <sheetViews>
    <sheetView zoomScale="160" zoomScaleNormal="160" workbookViewId="0">
      <selection activeCell="D6" sqref="D6"/>
    </sheetView>
  </sheetViews>
  <sheetFormatPr baseColWidth="10" defaultColWidth="8.83203125" defaultRowHeight="15" x14ac:dyDescent="0.2"/>
  <cols>
    <col min="1" max="1" width="50.6640625" style="44" customWidth="1"/>
    <col min="2" max="2" width="49.33203125" style="44" bestFit="1" customWidth="1"/>
    <col min="3" max="3" width="12.1640625" style="44" bestFit="1" customWidth="1"/>
    <col min="4" max="16384" width="8.83203125" style="44"/>
  </cols>
  <sheetData>
    <row r="1" spans="1:5" x14ac:dyDescent="0.2">
      <c r="A1" s="44" t="s">
        <v>187</v>
      </c>
    </row>
    <row r="2" spans="1:5" x14ac:dyDescent="0.2">
      <c r="A2" s="44" t="s">
        <v>186</v>
      </c>
    </row>
    <row r="3" spans="1:5" x14ac:dyDescent="0.2">
      <c r="A3" s="44" t="s">
        <v>185</v>
      </c>
    </row>
    <row r="4" spans="1:5" x14ac:dyDescent="0.2">
      <c r="A4" s="44" t="s">
        <v>184</v>
      </c>
      <c r="B4" s="44" t="s">
        <v>183</v>
      </c>
      <c r="C4" s="44" t="s">
        <v>135</v>
      </c>
      <c r="D4" s="44" t="s">
        <v>182</v>
      </c>
      <c r="E4" s="44" t="s">
        <v>181</v>
      </c>
    </row>
    <row r="5" spans="1:5" x14ac:dyDescent="0.2">
      <c r="A5" s="44" t="s">
        <v>180</v>
      </c>
      <c r="B5" s="44" t="s">
        <v>27</v>
      </c>
      <c r="C5" s="44" t="s">
        <v>179</v>
      </c>
      <c r="D5" s="46">
        <v>1133627</v>
      </c>
      <c r="E5" s="44">
        <v>1</v>
      </c>
    </row>
    <row r="6" spans="1:5" x14ac:dyDescent="0.2">
      <c r="A6" s="44" t="s">
        <v>27</v>
      </c>
      <c r="B6" s="44" t="s">
        <v>174</v>
      </c>
      <c r="C6" s="44" t="s">
        <v>179</v>
      </c>
      <c r="D6" s="44">
        <v>0</v>
      </c>
      <c r="E6" s="44">
        <v>2</v>
      </c>
    </row>
    <row r="7" spans="1:5" x14ac:dyDescent="0.2">
      <c r="A7" s="44" t="s">
        <v>27</v>
      </c>
      <c r="B7" s="44" t="s">
        <v>178</v>
      </c>
      <c r="C7" s="44" t="s">
        <v>142</v>
      </c>
      <c r="D7" s="46">
        <v>9808</v>
      </c>
      <c r="E7" s="44">
        <v>3</v>
      </c>
    </row>
    <row r="8" spans="1:5" x14ac:dyDescent="0.2">
      <c r="A8" s="44" t="s">
        <v>27</v>
      </c>
      <c r="B8" s="44" t="s">
        <v>178</v>
      </c>
      <c r="C8" s="44" t="s">
        <v>1</v>
      </c>
      <c r="D8" s="46">
        <v>8559</v>
      </c>
      <c r="E8" s="44">
        <v>3</v>
      </c>
    </row>
    <row r="9" spans="1:5" x14ac:dyDescent="0.2">
      <c r="A9" s="44" t="s">
        <v>27</v>
      </c>
      <c r="B9" s="44" t="s">
        <v>178</v>
      </c>
      <c r="C9" s="44" t="s">
        <v>10</v>
      </c>
      <c r="D9" s="46">
        <v>7780</v>
      </c>
      <c r="E9" s="44">
        <v>3</v>
      </c>
    </row>
    <row r="10" spans="1:5" x14ac:dyDescent="0.2">
      <c r="A10" s="44" t="s">
        <v>27</v>
      </c>
      <c r="B10" s="44" t="s">
        <v>178</v>
      </c>
      <c r="C10" s="44" t="s">
        <v>11</v>
      </c>
      <c r="D10" s="46">
        <v>1999</v>
      </c>
      <c r="E10" s="44">
        <v>3</v>
      </c>
    </row>
    <row r="11" spans="1:5" x14ac:dyDescent="0.2">
      <c r="A11" s="44" t="s">
        <v>27</v>
      </c>
      <c r="B11" s="44" t="s">
        <v>178</v>
      </c>
      <c r="C11" s="44" t="s">
        <v>2</v>
      </c>
      <c r="D11" s="46">
        <v>4364</v>
      </c>
      <c r="E11" s="44">
        <v>3</v>
      </c>
    </row>
    <row r="12" spans="1:5" x14ac:dyDescent="0.2">
      <c r="A12" s="44" t="s">
        <v>27</v>
      </c>
      <c r="B12" s="44" t="s">
        <v>178</v>
      </c>
      <c r="C12" s="44" t="s">
        <v>7</v>
      </c>
      <c r="D12" s="46">
        <v>6670</v>
      </c>
      <c r="E12" s="44">
        <v>3</v>
      </c>
    </row>
    <row r="13" spans="1:5" x14ac:dyDescent="0.2">
      <c r="A13" s="44" t="s">
        <v>27</v>
      </c>
      <c r="B13" s="44" t="s">
        <v>178</v>
      </c>
      <c r="C13" s="44" t="s">
        <v>139</v>
      </c>
      <c r="D13" s="46">
        <v>3589</v>
      </c>
      <c r="E13" s="44">
        <v>3</v>
      </c>
    </row>
    <row r="14" spans="1:5" x14ac:dyDescent="0.2">
      <c r="A14" s="44" t="s">
        <v>178</v>
      </c>
      <c r="B14" s="44" t="s">
        <v>144</v>
      </c>
      <c r="C14" s="44" t="s">
        <v>142</v>
      </c>
      <c r="D14" s="46">
        <v>-1233</v>
      </c>
      <c r="E14" s="44">
        <v>4</v>
      </c>
    </row>
    <row r="15" spans="1:5" ht="14.5" customHeight="1" x14ac:dyDescent="0.2">
      <c r="A15" s="44" t="s">
        <v>178</v>
      </c>
      <c r="B15" s="44" t="s">
        <v>144</v>
      </c>
      <c r="C15" s="44" t="s">
        <v>1</v>
      </c>
      <c r="D15" s="44">
        <v>-916</v>
      </c>
      <c r="E15" s="44">
        <v>4</v>
      </c>
    </row>
    <row r="16" spans="1:5" ht="14.5" customHeight="1" x14ac:dyDescent="0.2">
      <c r="A16" s="44" t="s">
        <v>178</v>
      </c>
      <c r="B16" s="44" t="s">
        <v>144</v>
      </c>
      <c r="C16" s="44" t="s">
        <v>10</v>
      </c>
      <c r="D16" s="44">
        <v>-798</v>
      </c>
      <c r="E16" s="44">
        <v>4</v>
      </c>
    </row>
    <row r="17" spans="1:5" ht="14.5" customHeight="1" x14ac:dyDescent="0.2">
      <c r="A17" s="44" t="s">
        <v>178</v>
      </c>
      <c r="B17" s="44" t="s">
        <v>144</v>
      </c>
      <c r="C17" s="44" t="s">
        <v>11</v>
      </c>
      <c r="D17" s="44">
        <v>89</v>
      </c>
      <c r="E17" s="44">
        <v>4</v>
      </c>
    </row>
    <row r="18" spans="1:5" ht="14.5" customHeight="1" x14ac:dyDescent="0.2">
      <c r="A18" s="44" t="s">
        <v>178</v>
      </c>
      <c r="B18" s="44" t="s">
        <v>144</v>
      </c>
      <c r="C18" s="44" t="s">
        <v>2</v>
      </c>
      <c r="D18" s="44">
        <v>-624</v>
      </c>
      <c r="E18" s="44">
        <v>4</v>
      </c>
    </row>
    <row r="19" spans="1:5" ht="14.5" customHeight="1" x14ac:dyDescent="0.2">
      <c r="A19" s="44" t="s">
        <v>178</v>
      </c>
      <c r="B19" s="44" t="s">
        <v>144</v>
      </c>
      <c r="C19" s="44" t="s">
        <v>7</v>
      </c>
      <c r="D19" s="46">
        <v>-2542</v>
      </c>
      <c r="E19" s="44">
        <v>4</v>
      </c>
    </row>
    <row r="20" spans="1:5" ht="14.5" customHeight="1" x14ac:dyDescent="0.2">
      <c r="A20" s="44" t="s">
        <v>178</v>
      </c>
      <c r="B20" s="44" t="s">
        <v>144</v>
      </c>
      <c r="C20" s="44" t="s">
        <v>139</v>
      </c>
      <c r="D20" s="46">
        <v>-3073</v>
      </c>
      <c r="E20" s="44">
        <v>4</v>
      </c>
    </row>
    <row r="21" spans="1:5" ht="14.5" customHeight="1" x14ac:dyDescent="0.2">
      <c r="A21" s="44" t="s">
        <v>178</v>
      </c>
      <c r="B21" s="44" t="s">
        <v>140</v>
      </c>
      <c r="C21" s="44" t="s">
        <v>142</v>
      </c>
      <c r="D21" s="46">
        <v>8574</v>
      </c>
      <c r="E21" s="44">
        <v>5</v>
      </c>
    </row>
    <row r="22" spans="1:5" ht="14.5" customHeight="1" x14ac:dyDescent="0.2">
      <c r="A22" s="44" t="s">
        <v>178</v>
      </c>
      <c r="B22" s="44" t="s">
        <v>140</v>
      </c>
      <c r="C22" s="44" t="s">
        <v>1</v>
      </c>
      <c r="D22" s="46">
        <v>7643</v>
      </c>
      <c r="E22" s="44">
        <v>5</v>
      </c>
    </row>
    <row r="23" spans="1:5" ht="15" customHeight="1" x14ac:dyDescent="0.2">
      <c r="A23" s="44" t="s">
        <v>178</v>
      </c>
      <c r="B23" s="44" t="s">
        <v>140</v>
      </c>
      <c r="C23" s="44" t="s">
        <v>10</v>
      </c>
      <c r="D23" s="46">
        <v>6982</v>
      </c>
      <c r="E23" s="44">
        <v>5</v>
      </c>
    </row>
    <row r="24" spans="1:5" ht="14.5" customHeight="1" x14ac:dyDescent="0.2">
      <c r="A24" s="44" t="s">
        <v>178</v>
      </c>
      <c r="B24" s="44" t="s">
        <v>140</v>
      </c>
      <c r="C24" s="44" t="s">
        <v>11</v>
      </c>
      <c r="D24" s="46">
        <v>2088</v>
      </c>
      <c r="E24" s="44">
        <v>5</v>
      </c>
    </row>
    <row r="25" spans="1:5" ht="14.5" customHeight="1" x14ac:dyDescent="0.2">
      <c r="A25" s="44" t="s">
        <v>178</v>
      </c>
      <c r="B25" s="44" t="s">
        <v>140</v>
      </c>
      <c r="C25" s="44" t="s">
        <v>2</v>
      </c>
      <c r="D25" s="46">
        <v>3740</v>
      </c>
      <c r="E25" s="44">
        <v>5</v>
      </c>
    </row>
    <row r="26" spans="1:5" ht="14.5" customHeight="1" x14ac:dyDescent="0.2">
      <c r="A26" s="44" t="s">
        <v>178</v>
      </c>
      <c r="B26" s="44" t="s">
        <v>140</v>
      </c>
      <c r="C26" s="44" t="s">
        <v>7</v>
      </c>
      <c r="D26" s="46">
        <v>4127</v>
      </c>
      <c r="E26" s="44">
        <v>5</v>
      </c>
    </row>
    <row r="27" spans="1:5" ht="14.5" customHeight="1" x14ac:dyDescent="0.2">
      <c r="A27" s="44" t="s">
        <v>178</v>
      </c>
      <c r="B27" s="44" t="s">
        <v>140</v>
      </c>
      <c r="C27" s="44" t="s">
        <v>139</v>
      </c>
      <c r="D27" s="44">
        <v>516</v>
      </c>
      <c r="E27" s="44">
        <v>5</v>
      </c>
    </row>
    <row r="28" spans="1:5" ht="14.5" customHeight="1" x14ac:dyDescent="0.2">
      <c r="A28" s="44" t="s">
        <v>140</v>
      </c>
      <c r="B28" s="44" t="s">
        <v>174</v>
      </c>
      <c r="C28" s="44" t="s">
        <v>142</v>
      </c>
      <c r="D28" s="46">
        <v>1432</v>
      </c>
      <c r="E28" s="44">
        <v>6</v>
      </c>
    </row>
    <row r="29" spans="1:5" ht="14.5" customHeight="1" x14ac:dyDescent="0.2">
      <c r="A29" s="44" t="s">
        <v>140</v>
      </c>
      <c r="B29" s="44" t="s">
        <v>174</v>
      </c>
      <c r="C29" s="44" t="s">
        <v>1</v>
      </c>
      <c r="D29" s="46">
        <v>1618</v>
      </c>
      <c r="E29" s="44">
        <v>6</v>
      </c>
    </row>
    <row r="30" spans="1:5" ht="14.5" customHeight="1" x14ac:dyDescent="0.2">
      <c r="A30" s="44" t="s">
        <v>140</v>
      </c>
      <c r="B30" s="44" t="s">
        <v>174</v>
      </c>
      <c r="C30" s="44" t="s">
        <v>10</v>
      </c>
      <c r="D30" s="44">
        <v>-486</v>
      </c>
      <c r="E30" s="45" t="s">
        <v>177</v>
      </c>
    </row>
    <row r="31" spans="1:5" ht="14.5" customHeight="1" x14ac:dyDescent="0.2">
      <c r="A31" s="44" t="s">
        <v>140</v>
      </c>
      <c r="B31" s="44" t="s">
        <v>174</v>
      </c>
      <c r="C31" s="44" t="s">
        <v>11</v>
      </c>
      <c r="D31" s="44">
        <v>-236</v>
      </c>
      <c r="E31" s="45" t="s">
        <v>177</v>
      </c>
    </row>
    <row r="32" spans="1:5" ht="15" customHeight="1" x14ac:dyDescent="0.2">
      <c r="A32" s="44" t="s">
        <v>140</v>
      </c>
      <c r="B32" s="44" t="s">
        <v>174</v>
      </c>
      <c r="C32" s="44" t="s">
        <v>2</v>
      </c>
      <c r="D32" s="44">
        <v>-830</v>
      </c>
      <c r="E32" s="45" t="s">
        <v>177</v>
      </c>
    </row>
    <row r="33" spans="1:5" ht="14.5" customHeight="1" x14ac:dyDescent="0.2">
      <c r="A33" s="44" t="s">
        <v>140</v>
      </c>
      <c r="B33" s="44" t="s">
        <v>174</v>
      </c>
      <c r="C33" s="44" t="s">
        <v>7</v>
      </c>
      <c r="D33" s="44">
        <v>-390</v>
      </c>
      <c r="E33" s="45" t="s">
        <v>177</v>
      </c>
    </row>
    <row r="34" spans="1:5" ht="14.5" customHeight="1" x14ac:dyDescent="0.2">
      <c r="A34" s="44" t="s">
        <v>140</v>
      </c>
      <c r="B34" s="44" t="s">
        <v>174</v>
      </c>
      <c r="C34" s="44" t="s">
        <v>139</v>
      </c>
      <c r="D34" s="44">
        <v>516</v>
      </c>
      <c r="E34" s="45">
        <v>6</v>
      </c>
    </row>
    <row r="35" spans="1:5" ht="14.5" customHeight="1" x14ac:dyDescent="0.2">
      <c r="A35" s="44" t="s">
        <v>140</v>
      </c>
      <c r="B35" s="44" t="s">
        <v>176</v>
      </c>
      <c r="C35" s="44" t="s">
        <v>142</v>
      </c>
      <c r="D35" s="44">
        <v>7405</v>
      </c>
      <c r="E35" s="44">
        <v>7</v>
      </c>
    </row>
    <row r="36" spans="1:5" ht="14.5" customHeight="1" x14ac:dyDescent="0.2">
      <c r="A36" s="44" t="s">
        <v>140</v>
      </c>
      <c r="B36" s="44" t="s">
        <v>176</v>
      </c>
      <c r="C36" s="44" t="s">
        <v>1</v>
      </c>
      <c r="D36" s="44">
        <v>6619</v>
      </c>
      <c r="E36" s="44">
        <v>7</v>
      </c>
    </row>
    <row r="37" spans="1:5" ht="14.5" customHeight="1" x14ac:dyDescent="0.2">
      <c r="A37" s="44" t="s">
        <v>140</v>
      </c>
      <c r="B37" s="44" t="s">
        <v>176</v>
      </c>
      <c r="C37" s="44" t="s">
        <v>10</v>
      </c>
      <c r="D37" s="44">
        <v>7524</v>
      </c>
      <c r="E37" s="44">
        <v>7</v>
      </c>
    </row>
    <row r="38" spans="1:5" ht="14.5" customHeight="1" x14ac:dyDescent="0.2">
      <c r="A38" s="44" t="s">
        <v>140</v>
      </c>
      <c r="B38" s="44" t="s">
        <v>176</v>
      </c>
      <c r="C38" s="44" t="s">
        <v>11</v>
      </c>
      <c r="D38" s="44">
        <v>2363</v>
      </c>
      <c r="E38" s="44">
        <v>7</v>
      </c>
    </row>
    <row r="39" spans="1:5" ht="14.5" customHeight="1" x14ac:dyDescent="0.2">
      <c r="A39" s="44" t="s">
        <v>140</v>
      </c>
      <c r="B39" s="44" t="s">
        <v>176</v>
      </c>
      <c r="C39" s="44" t="s">
        <v>2</v>
      </c>
      <c r="D39" s="44">
        <v>5055</v>
      </c>
      <c r="E39" s="44">
        <v>7</v>
      </c>
    </row>
    <row r="40" spans="1:5" ht="14.5" customHeight="1" x14ac:dyDescent="0.2">
      <c r="A40" s="44" t="s">
        <v>140</v>
      </c>
      <c r="B40" s="44" t="s">
        <v>176</v>
      </c>
      <c r="C40" s="44" t="s">
        <v>7</v>
      </c>
      <c r="D40" s="44">
        <v>4517</v>
      </c>
      <c r="E40" s="44">
        <v>7</v>
      </c>
    </row>
    <row r="41" spans="1:5" ht="15" customHeight="1" x14ac:dyDescent="0.2">
      <c r="A41" s="44" t="s">
        <v>140</v>
      </c>
      <c r="B41" s="44" t="s">
        <v>176</v>
      </c>
      <c r="C41" s="44" t="s">
        <v>139</v>
      </c>
      <c r="D41" s="44">
        <v>0</v>
      </c>
      <c r="E41" s="44">
        <v>7</v>
      </c>
    </row>
    <row r="42" spans="1:5" x14ac:dyDescent="0.2">
      <c r="A42" s="44" t="s">
        <v>176</v>
      </c>
      <c r="B42" s="44" t="s">
        <v>144</v>
      </c>
      <c r="C42" s="44" t="s">
        <v>142</v>
      </c>
      <c r="D42" s="44">
        <v>-2</v>
      </c>
      <c r="E42" s="44">
        <v>8</v>
      </c>
    </row>
    <row r="43" spans="1:5" x14ac:dyDescent="0.2">
      <c r="A43" s="44" t="s">
        <v>176</v>
      </c>
      <c r="B43" s="44" t="s">
        <v>144</v>
      </c>
      <c r="C43" s="44" t="s">
        <v>1</v>
      </c>
      <c r="D43" s="44">
        <v>-1</v>
      </c>
      <c r="E43" s="44">
        <v>8</v>
      </c>
    </row>
    <row r="44" spans="1:5" x14ac:dyDescent="0.2">
      <c r="A44" s="44" t="s">
        <v>176</v>
      </c>
      <c r="B44" s="44" t="s">
        <v>144</v>
      </c>
      <c r="C44" s="44" t="s">
        <v>10</v>
      </c>
      <c r="D44" s="44">
        <v>103</v>
      </c>
      <c r="E44" s="44">
        <v>8</v>
      </c>
    </row>
    <row r="45" spans="1:5" x14ac:dyDescent="0.2">
      <c r="A45" s="44" t="s">
        <v>176</v>
      </c>
      <c r="B45" s="44" t="s">
        <v>144</v>
      </c>
      <c r="C45" s="44" t="s">
        <v>11</v>
      </c>
      <c r="D45" s="44">
        <v>-32</v>
      </c>
      <c r="E45" s="44">
        <v>8</v>
      </c>
    </row>
    <row r="46" spans="1:5" x14ac:dyDescent="0.2">
      <c r="A46" s="44" t="s">
        <v>176</v>
      </c>
      <c r="B46" s="44" t="s">
        <v>144</v>
      </c>
      <c r="C46" s="44" t="s">
        <v>2</v>
      </c>
      <c r="D46" s="44">
        <v>207</v>
      </c>
      <c r="E46" s="44">
        <v>8</v>
      </c>
    </row>
    <row r="47" spans="1:5" x14ac:dyDescent="0.2">
      <c r="A47" s="44" t="s">
        <v>176</v>
      </c>
      <c r="B47" s="44" t="s">
        <v>144</v>
      </c>
      <c r="C47" s="44" t="s">
        <v>7</v>
      </c>
      <c r="D47" s="44">
        <v>39</v>
      </c>
      <c r="E47" s="44">
        <v>8</v>
      </c>
    </row>
    <row r="48" spans="1:5" x14ac:dyDescent="0.2">
      <c r="A48" s="44" t="s">
        <v>176</v>
      </c>
      <c r="B48" s="44" t="s">
        <v>144</v>
      </c>
      <c r="C48" s="44" t="s">
        <v>139</v>
      </c>
      <c r="D48" s="44">
        <v>864</v>
      </c>
      <c r="E48" s="44">
        <v>8</v>
      </c>
    </row>
    <row r="49" spans="1:5" x14ac:dyDescent="0.2">
      <c r="A49" s="44" t="s">
        <v>176</v>
      </c>
      <c r="B49" s="44" t="s">
        <v>173</v>
      </c>
      <c r="C49" s="44" t="s">
        <v>142</v>
      </c>
      <c r="D49" s="44">
        <v>7404</v>
      </c>
      <c r="E49" s="44">
        <v>9</v>
      </c>
    </row>
    <row r="50" spans="1:5" x14ac:dyDescent="0.2">
      <c r="A50" s="44" t="s">
        <v>176</v>
      </c>
      <c r="B50" s="44" t="s">
        <v>173</v>
      </c>
      <c r="C50" s="44" t="s">
        <v>1</v>
      </c>
      <c r="D50" s="44">
        <v>6618</v>
      </c>
      <c r="E50" s="44">
        <v>9</v>
      </c>
    </row>
    <row r="51" spans="1:5" x14ac:dyDescent="0.2">
      <c r="A51" s="44" t="s">
        <v>176</v>
      </c>
      <c r="B51" s="44" t="s">
        <v>173</v>
      </c>
      <c r="C51" s="44" t="s">
        <v>10</v>
      </c>
      <c r="D51" s="44">
        <v>7627</v>
      </c>
      <c r="E51" s="44">
        <v>9</v>
      </c>
    </row>
    <row r="52" spans="1:5" x14ac:dyDescent="0.2">
      <c r="A52" s="44" t="s">
        <v>176</v>
      </c>
      <c r="B52" s="44" t="s">
        <v>173</v>
      </c>
      <c r="C52" s="44" t="s">
        <v>11</v>
      </c>
      <c r="D52" s="44">
        <v>2331</v>
      </c>
      <c r="E52" s="44">
        <v>9</v>
      </c>
    </row>
    <row r="53" spans="1:5" x14ac:dyDescent="0.2">
      <c r="A53" s="44" t="s">
        <v>176</v>
      </c>
      <c r="B53" s="44" t="s">
        <v>173</v>
      </c>
      <c r="C53" s="44" t="s">
        <v>2</v>
      </c>
      <c r="D53" s="44">
        <v>5263</v>
      </c>
      <c r="E53" s="44">
        <v>9</v>
      </c>
    </row>
    <row r="54" spans="1:5" x14ac:dyDescent="0.2">
      <c r="A54" s="44" t="s">
        <v>176</v>
      </c>
      <c r="B54" s="44" t="s">
        <v>173</v>
      </c>
      <c r="C54" s="44" t="s">
        <v>7</v>
      </c>
      <c r="D54" s="44">
        <v>4556</v>
      </c>
      <c r="E54" s="44">
        <v>9</v>
      </c>
    </row>
    <row r="55" spans="1:5" x14ac:dyDescent="0.2">
      <c r="A55" s="44" t="s">
        <v>176</v>
      </c>
      <c r="B55" s="44" t="s">
        <v>173</v>
      </c>
      <c r="C55" s="44" t="s">
        <v>139</v>
      </c>
      <c r="D55" s="44">
        <v>864</v>
      </c>
      <c r="E55" s="44">
        <v>9</v>
      </c>
    </row>
    <row r="56" spans="1:5" x14ac:dyDescent="0.2">
      <c r="A56" s="44" t="s">
        <v>176</v>
      </c>
      <c r="B56" s="44" t="s">
        <v>175</v>
      </c>
      <c r="C56" s="44" t="s">
        <v>142</v>
      </c>
      <c r="D56" s="44">
        <v>0</v>
      </c>
      <c r="E56" s="44">
        <v>10</v>
      </c>
    </row>
    <row r="57" spans="1:5" x14ac:dyDescent="0.2">
      <c r="A57" s="44" t="s">
        <v>176</v>
      </c>
      <c r="B57" s="44" t="s">
        <v>175</v>
      </c>
      <c r="C57" s="44" t="s">
        <v>1</v>
      </c>
      <c r="D57" s="44">
        <v>0</v>
      </c>
      <c r="E57" s="44">
        <v>10</v>
      </c>
    </row>
    <row r="58" spans="1:5" x14ac:dyDescent="0.2">
      <c r="A58" s="44" t="s">
        <v>176</v>
      </c>
      <c r="B58" s="44" t="s">
        <v>175</v>
      </c>
      <c r="C58" s="44" t="s">
        <v>10</v>
      </c>
      <c r="D58" s="44">
        <v>0</v>
      </c>
      <c r="E58" s="44">
        <v>10</v>
      </c>
    </row>
    <row r="59" spans="1:5" x14ac:dyDescent="0.2">
      <c r="A59" s="44" t="s">
        <v>176</v>
      </c>
      <c r="B59" s="44" t="s">
        <v>175</v>
      </c>
      <c r="C59" s="44" t="s">
        <v>11</v>
      </c>
      <c r="D59" s="44">
        <v>0</v>
      </c>
      <c r="E59" s="44">
        <v>10</v>
      </c>
    </row>
    <row r="60" spans="1:5" x14ac:dyDescent="0.2">
      <c r="A60" s="44" t="s">
        <v>176</v>
      </c>
      <c r="B60" s="44" t="s">
        <v>175</v>
      </c>
      <c r="C60" s="44" t="s">
        <v>2</v>
      </c>
      <c r="D60" s="44">
        <v>0</v>
      </c>
      <c r="E60" s="44">
        <v>10</v>
      </c>
    </row>
    <row r="61" spans="1:5" x14ac:dyDescent="0.2">
      <c r="A61" s="44" t="s">
        <v>176</v>
      </c>
      <c r="B61" s="44" t="s">
        <v>175</v>
      </c>
      <c r="C61" s="44" t="s">
        <v>7</v>
      </c>
      <c r="D61" s="44">
        <v>0</v>
      </c>
      <c r="E61" s="44">
        <v>10</v>
      </c>
    </row>
    <row r="62" spans="1:5" x14ac:dyDescent="0.2">
      <c r="A62" s="44" t="s">
        <v>176</v>
      </c>
      <c r="B62" s="44" t="s">
        <v>175</v>
      </c>
      <c r="C62" s="44" t="s">
        <v>139</v>
      </c>
      <c r="D62" s="44">
        <v>0</v>
      </c>
      <c r="E62" s="44">
        <v>10</v>
      </c>
    </row>
    <row r="63" spans="1:5" x14ac:dyDescent="0.2">
      <c r="A63" s="44" t="s">
        <v>173</v>
      </c>
      <c r="B63" s="44" t="s">
        <v>174</v>
      </c>
      <c r="C63" s="44" t="s">
        <v>142</v>
      </c>
      <c r="D63" s="44">
        <v>0</v>
      </c>
      <c r="E63" s="44">
        <v>11</v>
      </c>
    </row>
    <row r="64" spans="1:5" x14ac:dyDescent="0.2">
      <c r="A64" s="44" t="s">
        <v>173</v>
      </c>
      <c r="B64" s="44" t="s">
        <v>174</v>
      </c>
      <c r="C64" s="44" t="s">
        <v>1</v>
      </c>
      <c r="D64" s="44">
        <v>0</v>
      </c>
      <c r="E64" s="44">
        <v>11</v>
      </c>
    </row>
    <row r="65" spans="1:5" x14ac:dyDescent="0.2">
      <c r="A65" s="44" t="s">
        <v>173</v>
      </c>
      <c r="B65" s="44" t="s">
        <v>174</v>
      </c>
      <c r="C65" s="44" t="s">
        <v>10</v>
      </c>
      <c r="D65" s="44">
        <v>0</v>
      </c>
      <c r="E65" s="44">
        <v>11</v>
      </c>
    </row>
    <row r="66" spans="1:5" x14ac:dyDescent="0.2">
      <c r="A66" s="44" t="s">
        <v>173</v>
      </c>
      <c r="B66" s="44" t="s">
        <v>174</v>
      </c>
      <c r="C66" s="44" t="s">
        <v>11</v>
      </c>
      <c r="D66" s="44">
        <v>0</v>
      </c>
      <c r="E66" s="44">
        <v>11</v>
      </c>
    </row>
    <row r="67" spans="1:5" x14ac:dyDescent="0.2">
      <c r="A67" s="44" t="s">
        <v>173</v>
      </c>
      <c r="B67" s="44" t="s">
        <v>174</v>
      </c>
      <c r="C67" s="44" t="s">
        <v>2</v>
      </c>
      <c r="D67" s="44">
        <v>0</v>
      </c>
      <c r="E67" s="44">
        <v>11</v>
      </c>
    </row>
    <row r="68" spans="1:5" x14ac:dyDescent="0.2">
      <c r="A68" s="44" t="s">
        <v>173</v>
      </c>
      <c r="B68" s="44" t="s">
        <v>174</v>
      </c>
      <c r="C68" s="44" t="s">
        <v>7</v>
      </c>
      <c r="D68" s="44">
        <v>0</v>
      </c>
      <c r="E68" s="44">
        <v>11</v>
      </c>
    </row>
    <row r="69" spans="1:5" x14ac:dyDescent="0.2">
      <c r="A69" s="44" t="s">
        <v>173</v>
      </c>
      <c r="B69" s="44" t="s">
        <v>174</v>
      </c>
      <c r="C69" s="44" t="s">
        <v>139</v>
      </c>
      <c r="D69" s="44">
        <v>0</v>
      </c>
      <c r="E69" s="44">
        <v>11</v>
      </c>
    </row>
    <row r="70" spans="1:5" x14ac:dyDescent="0.2">
      <c r="A70" s="44" t="s">
        <v>173</v>
      </c>
      <c r="B70" s="44" t="s">
        <v>172</v>
      </c>
      <c r="C70" s="44" t="s">
        <v>142</v>
      </c>
      <c r="D70" s="44">
        <v>12</v>
      </c>
      <c r="E70" s="44">
        <v>12</v>
      </c>
    </row>
    <row r="71" spans="1:5" x14ac:dyDescent="0.2">
      <c r="A71" s="44" t="s">
        <v>173</v>
      </c>
      <c r="B71" s="44" t="s">
        <v>171</v>
      </c>
      <c r="C71" s="44" t="s">
        <v>142</v>
      </c>
      <c r="D71" s="44">
        <v>4564</v>
      </c>
      <c r="E71" s="44">
        <v>12</v>
      </c>
    </row>
    <row r="72" spans="1:5" x14ac:dyDescent="0.2">
      <c r="A72" s="44" t="s">
        <v>173</v>
      </c>
      <c r="B72" s="44" t="s">
        <v>169</v>
      </c>
      <c r="C72" s="44" t="s">
        <v>142</v>
      </c>
      <c r="D72" s="44">
        <v>432</v>
      </c>
      <c r="E72" s="44">
        <v>12</v>
      </c>
    </row>
    <row r="73" spans="1:5" x14ac:dyDescent="0.2">
      <c r="A73" s="44" t="s">
        <v>173</v>
      </c>
      <c r="B73" s="44" t="s">
        <v>168</v>
      </c>
      <c r="C73" s="44" t="s">
        <v>142</v>
      </c>
      <c r="D73" s="44">
        <v>138</v>
      </c>
      <c r="E73" s="44">
        <v>12</v>
      </c>
    </row>
    <row r="74" spans="1:5" x14ac:dyDescent="0.2">
      <c r="A74" s="44" t="s">
        <v>173</v>
      </c>
      <c r="B74" s="44" t="s">
        <v>167</v>
      </c>
      <c r="C74" s="44" t="s">
        <v>142</v>
      </c>
      <c r="D74" s="44">
        <v>33</v>
      </c>
      <c r="E74" s="44">
        <v>12</v>
      </c>
    </row>
    <row r="75" spans="1:5" x14ac:dyDescent="0.2">
      <c r="A75" s="44" t="s">
        <v>173</v>
      </c>
      <c r="B75" s="44" t="s">
        <v>166</v>
      </c>
      <c r="C75" s="44" t="s">
        <v>142</v>
      </c>
      <c r="D75" s="44">
        <v>1989</v>
      </c>
      <c r="E75" s="44">
        <v>12</v>
      </c>
    </row>
    <row r="76" spans="1:5" x14ac:dyDescent="0.2">
      <c r="A76" s="44" t="s">
        <v>173</v>
      </c>
      <c r="B76" s="44" t="s">
        <v>164</v>
      </c>
      <c r="C76" s="44" t="s">
        <v>142</v>
      </c>
      <c r="D76" s="44">
        <v>116</v>
      </c>
      <c r="E76" s="44">
        <v>12</v>
      </c>
    </row>
    <row r="77" spans="1:5" x14ac:dyDescent="0.2">
      <c r="A77" s="44" t="s">
        <v>173</v>
      </c>
      <c r="B77" s="44" t="s">
        <v>163</v>
      </c>
      <c r="C77" s="44" t="s">
        <v>142</v>
      </c>
      <c r="D77" s="44">
        <v>111</v>
      </c>
      <c r="E77" s="44">
        <v>12</v>
      </c>
    </row>
    <row r="78" spans="1:5" x14ac:dyDescent="0.2">
      <c r="A78" s="44" t="s">
        <v>173</v>
      </c>
      <c r="B78" s="44" t="s">
        <v>162</v>
      </c>
      <c r="C78" s="44" t="s">
        <v>142</v>
      </c>
      <c r="D78" s="44">
        <v>9</v>
      </c>
      <c r="E78" s="44">
        <v>12</v>
      </c>
    </row>
    <row r="79" spans="1:5" x14ac:dyDescent="0.2">
      <c r="A79" s="44" t="s">
        <v>173</v>
      </c>
      <c r="B79" s="44" t="s">
        <v>172</v>
      </c>
      <c r="C79" s="44" t="s">
        <v>1</v>
      </c>
      <c r="D79" s="44">
        <v>271</v>
      </c>
      <c r="E79" s="44">
        <v>12</v>
      </c>
    </row>
    <row r="80" spans="1:5" x14ac:dyDescent="0.2">
      <c r="A80" s="44" t="s">
        <v>173</v>
      </c>
      <c r="B80" s="44" t="s">
        <v>171</v>
      </c>
      <c r="C80" s="44" t="s">
        <v>1</v>
      </c>
      <c r="D80" s="44">
        <v>3661</v>
      </c>
      <c r="E80" s="44">
        <v>12</v>
      </c>
    </row>
    <row r="81" spans="1:5" x14ac:dyDescent="0.2">
      <c r="A81" s="44" t="s">
        <v>173</v>
      </c>
      <c r="B81" s="44" t="s">
        <v>169</v>
      </c>
      <c r="C81" s="44" t="s">
        <v>1</v>
      </c>
      <c r="D81" s="44">
        <v>1310</v>
      </c>
      <c r="E81" s="44">
        <v>12</v>
      </c>
    </row>
    <row r="82" spans="1:5" x14ac:dyDescent="0.2">
      <c r="A82" s="44" t="s">
        <v>173</v>
      </c>
      <c r="B82" s="44" t="s">
        <v>168</v>
      </c>
      <c r="C82" s="44" t="s">
        <v>1</v>
      </c>
      <c r="D82" s="44">
        <v>26</v>
      </c>
      <c r="E82" s="44">
        <v>12</v>
      </c>
    </row>
    <row r="83" spans="1:5" x14ac:dyDescent="0.2">
      <c r="A83" s="44" t="s">
        <v>173</v>
      </c>
      <c r="B83" s="44" t="s">
        <v>167</v>
      </c>
      <c r="C83" s="44" t="s">
        <v>1</v>
      </c>
      <c r="D83" s="44">
        <v>12</v>
      </c>
      <c r="E83" s="44">
        <v>12</v>
      </c>
    </row>
    <row r="84" spans="1:5" x14ac:dyDescent="0.2">
      <c r="A84" s="44" t="s">
        <v>173</v>
      </c>
      <c r="B84" s="44" t="s">
        <v>166</v>
      </c>
      <c r="C84" s="44" t="s">
        <v>1</v>
      </c>
      <c r="D84" s="44">
        <v>1209</v>
      </c>
      <c r="E84" s="44">
        <v>12</v>
      </c>
    </row>
    <row r="85" spans="1:5" x14ac:dyDescent="0.2">
      <c r="A85" s="44" t="s">
        <v>173</v>
      </c>
      <c r="B85" s="44" t="s">
        <v>164</v>
      </c>
      <c r="C85" s="44" t="s">
        <v>1</v>
      </c>
      <c r="D85" s="44">
        <v>101</v>
      </c>
      <c r="E85" s="44">
        <v>12</v>
      </c>
    </row>
    <row r="86" spans="1:5" x14ac:dyDescent="0.2">
      <c r="A86" s="44" t="s">
        <v>173</v>
      </c>
      <c r="B86" s="44" t="s">
        <v>163</v>
      </c>
      <c r="C86" s="44" t="s">
        <v>1</v>
      </c>
      <c r="D86" s="44">
        <v>0</v>
      </c>
      <c r="E86" s="44">
        <v>12</v>
      </c>
    </row>
    <row r="87" spans="1:5" x14ac:dyDescent="0.2">
      <c r="A87" s="44" t="s">
        <v>173</v>
      </c>
      <c r="B87" s="44" t="s">
        <v>162</v>
      </c>
      <c r="C87" s="44" t="s">
        <v>1</v>
      </c>
      <c r="D87" s="44">
        <v>28</v>
      </c>
      <c r="E87" s="44">
        <v>12</v>
      </c>
    </row>
    <row r="88" spans="1:5" x14ac:dyDescent="0.2">
      <c r="A88" s="44" t="s">
        <v>173</v>
      </c>
      <c r="B88" s="44" t="s">
        <v>172</v>
      </c>
      <c r="C88" s="44" t="s">
        <v>10</v>
      </c>
      <c r="D88" s="44">
        <v>983</v>
      </c>
      <c r="E88" s="44">
        <v>12</v>
      </c>
    </row>
    <row r="89" spans="1:5" x14ac:dyDescent="0.2">
      <c r="A89" s="44" t="s">
        <v>173</v>
      </c>
      <c r="B89" s="44" t="s">
        <v>171</v>
      </c>
      <c r="C89" s="44" t="s">
        <v>10</v>
      </c>
      <c r="D89" s="44">
        <v>2828</v>
      </c>
      <c r="E89" s="44">
        <v>12</v>
      </c>
    </row>
    <row r="90" spans="1:5" x14ac:dyDescent="0.2">
      <c r="A90" s="44" t="s">
        <v>173</v>
      </c>
      <c r="B90" s="44" t="s">
        <v>169</v>
      </c>
      <c r="C90" s="44" t="s">
        <v>10</v>
      </c>
      <c r="D90" s="44">
        <v>299</v>
      </c>
      <c r="E90" s="44">
        <v>12</v>
      </c>
    </row>
    <row r="91" spans="1:5" x14ac:dyDescent="0.2">
      <c r="A91" s="44" t="s">
        <v>173</v>
      </c>
      <c r="B91" s="44" t="s">
        <v>168</v>
      </c>
      <c r="C91" s="44" t="s">
        <v>10</v>
      </c>
      <c r="D91" s="44">
        <v>203</v>
      </c>
      <c r="E91" s="44">
        <v>12</v>
      </c>
    </row>
    <row r="92" spans="1:5" x14ac:dyDescent="0.2">
      <c r="A92" s="44" t="s">
        <v>173</v>
      </c>
      <c r="B92" s="44" t="s">
        <v>167</v>
      </c>
      <c r="C92" s="44" t="s">
        <v>10</v>
      </c>
      <c r="D92" s="44">
        <v>459</v>
      </c>
      <c r="E92" s="44">
        <v>12</v>
      </c>
    </row>
    <row r="93" spans="1:5" x14ac:dyDescent="0.2">
      <c r="A93" s="44" t="s">
        <v>173</v>
      </c>
      <c r="B93" s="44" t="s">
        <v>166</v>
      </c>
      <c r="C93" s="44" t="s">
        <v>10</v>
      </c>
      <c r="D93" s="44">
        <v>2297</v>
      </c>
      <c r="E93" s="44">
        <v>12</v>
      </c>
    </row>
    <row r="94" spans="1:5" x14ac:dyDescent="0.2">
      <c r="A94" s="44" t="s">
        <v>173</v>
      </c>
      <c r="B94" s="44" t="s">
        <v>164</v>
      </c>
      <c r="C94" s="44" t="s">
        <v>10</v>
      </c>
      <c r="D94" s="44">
        <v>137</v>
      </c>
      <c r="E94" s="44">
        <v>12</v>
      </c>
    </row>
    <row r="95" spans="1:5" x14ac:dyDescent="0.2">
      <c r="A95" s="44" t="s">
        <v>173</v>
      </c>
      <c r="B95" s="44" t="s">
        <v>163</v>
      </c>
      <c r="C95" s="44" t="s">
        <v>10</v>
      </c>
      <c r="D95" s="44">
        <v>0</v>
      </c>
      <c r="E95" s="44">
        <v>12</v>
      </c>
    </row>
    <row r="96" spans="1:5" x14ac:dyDescent="0.2">
      <c r="A96" s="44" t="s">
        <v>173</v>
      </c>
      <c r="B96" s="44" t="s">
        <v>162</v>
      </c>
      <c r="C96" s="44" t="s">
        <v>10</v>
      </c>
      <c r="D96" s="44">
        <v>422</v>
      </c>
      <c r="E96" s="44">
        <v>12</v>
      </c>
    </row>
    <row r="97" spans="1:5" x14ac:dyDescent="0.2">
      <c r="A97" s="44" t="s">
        <v>173</v>
      </c>
      <c r="B97" s="44" t="s">
        <v>172</v>
      </c>
      <c r="C97" s="44" t="s">
        <v>11</v>
      </c>
      <c r="D97" s="44">
        <v>0</v>
      </c>
      <c r="E97" s="44">
        <v>12</v>
      </c>
    </row>
    <row r="98" spans="1:5" x14ac:dyDescent="0.2">
      <c r="A98" s="44" t="s">
        <v>173</v>
      </c>
      <c r="B98" s="44" t="s">
        <v>171</v>
      </c>
      <c r="C98" s="44" t="s">
        <v>11</v>
      </c>
      <c r="D98" s="44">
        <v>687</v>
      </c>
      <c r="E98" s="44">
        <v>12</v>
      </c>
    </row>
    <row r="99" spans="1:5" x14ac:dyDescent="0.2">
      <c r="A99" s="44" t="s">
        <v>173</v>
      </c>
      <c r="B99" s="44" t="s">
        <v>169</v>
      </c>
      <c r="C99" s="44" t="s">
        <v>11</v>
      </c>
      <c r="D99" s="44">
        <v>250</v>
      </c>
      <c r="E99" s="44">
        <v>12</v>
      </c>
    </row>
    <row r="100" spans="1:5" x14ac:dyDescent="0.2">
      <c r="A100" s="44" t="s">
        <v>173</v>
      </c>
      <c r="B100" s="44" t="s">
        <v>168</v>
      </c>
      <c r="C100" s="44" t="s">
        <v>11</v>
      </c>
      <c r="D100" s="44">
        <v>199</v>
      </c>
      <c r="E100" s="44">
        <v>12</v>
      </c>
    </row>
    <row r="101" spans="1:5" x14ac:dyDescent="0.2">
      <c r="A101" s="44" t="s">
        <v>173</v>
      </c>
      <c r="B101" s="44" t="s">
        <v>167</v>
      </c>
      <c r="C101" s="44" t="s">
        <v>11</v>
      </c>
      <c r="D101" s="44">
        <v>56</v>
      </c>
      <c r="E101" s="44">
        <v>12</v>
      </c>
    </row>
    <row r="102" spans="1:5" x14ac:dyDescent="0.2">
      <c r="A102" s="44" t="s">
        <v>173</v>
      </c>
      <c r="B102" s="44" t="s">
        <v>166</v>
      </c>
      <c r="C102" s="44" t="s">
        <v>11</v>
      </c>
      <c r="D102" s="44">
        <v>1114</v>
      </c>
      <c r="E102" s="44">
        <v>12</v>
      </c>
    </row>
    <row r="103" spans="1:5" x14ac:dyDescent="0.2">
      <c r="A103" s="44" t="s">
        <v>173</v>
      </c>
      <c r="B103" s="44" t="s">
        <v>164</v>
      </c>
      <c r="C103" s="44" t="s">
        <v>11</v>
      </c>
      <c r="D103" s="44">
        <v>0</v>
      </c>
      <c r="E103" s="44">
        <v>12</v>
      </c>
    </row>
    <row r="104" spans="1:5" x14ac:dyDescent="0.2">
      <c r="A104" s="44" t="s">
        <v>173</v>
      </c>
      <c r="B104" s="44" t="s">
        <v>163</v>
      </c>
      <c r="C104" s="44" t="s">
        <v>11</v>
      </c>
      <c r="D104" s="44">
        <v>0</v>
      </c>
      <c r="E104" s="44">
        <v>12</v>
      </c>
    </row>
    <row r="105" spans="1:5" x14ac:dyDescent="0.2">
      <c r="A105" s="44" t="s">
        <v>173</v>
      </c>
      <c r="B105" s="44" t="s">
        <v>162</v>
      </c>
      <c r="C105" s="44" t="s">
        <v>11</v>
      </c>
      <c r="D105" s="44">
        <v>25</v>
      </c>
      <c r="E105" s="44">
        <v>12</v>
      </c>
    </row>
    <row r="106" spans="1:5" x14ac:dyDescent="0.2">
      <c r="A106" s="44" t="s">
        <v>173</v>
      </c>
      <c r="B106" s="44" t="s">
        <v>172</v>
      </c>
      <c r="C106" s="44" t="s">
        <v>2</v>
      </c>
      <c r="D106" s="44">
        <v>0</v>
      </c>
      <c r="E106" s="44">
        <v>12</v>
      </c>
    </row>
    <row r="107" spans="1:5" x14ac:dyDescent="0.2">
      <c r="A107" s="44" t="s">
        <v>173</v>
      </c>
      <c r="B107" s="44" t="s">
        <v>171</v>
      </c>
      <c r="C107" s="44" t="s">
        <v>2</v>
      </c>
      <c r="D107" s="44">
        <v>2536</v>
      </c>
      <c r="E107" s="44">
        <v>12</v>
      </c>
    </row>
    <row r="108" spans="1:5" x14ac:dyDescent="0.2">
      <c r="A108" s="44" t="s">
        <v>173</v>
      </c>
      <c r="B108" s="44" t="s">
        <v>169</v>
      </c>
      <c r="C108" s="44" t="s">
        <v>2</v>
      </c>
      <c r="D108" s="44">
        <v>0</v>
      </c>
      <c r="E108" s="44">
        <v>12</v>
      </c>
    </row>
    <row r="109" spans="1:5" x14ac:dyDescent="0.2">
      <c r="A109" s="44" t="s">
        <v>173</v>
      </c>
      <c r="B109" s="44" t="s">
        <v>168</v>
      </c>
      <c r="C109" s="44" t="s">
        <v>2</v>
      </c>
      <c r="D109" s="44">
        <v>0</v>
      </c>
      <c r="E109" s="44">
        <v>12</v>
      </c>
    </row>
    <row r="110" spans="1:5" x14ac:dyDescent="0.2">
      <c r="A110" s="44" t="s">
        <v>173</v>
      </c>
      <c r="B110" s="44" t="s">
        <v>167</v>
      </c>
      <c r="C110" s="44" t="s">
        <v>2</v>
      </c>
      <c r="D110" s="44">
        <v>0</v>
      </c>
      <c r="E110" s="44">
        <v>12</v>
      </c>
    </row>
    <row r="111" spans="1:5" x14ac:dyDescent="0.2">
      <c r="A111" s="44" t="s">
        <v>173</v>
      </c>
      <c r="B111" s="44" t="s">
        <v>166</v>
      </c>
      <c r="C111" s="44" t="s">
        <v>2</v>
      </c>
      <c r="D111" s="44">
        <v>2726</v>
      </c>
      <c r="E111" s="44">
        <v>12</v>
      </c>
    </row>
    <row r="112" spans="1:5" x14ac:dyDescent="0.2">
      <c r="A112" s="44" t="s">
        <v>173</v>
      </c>
      <c r="B112" s="44" t="s">
        <v>164</v>
      </c>
      <c r="C112" s="44" t="s">
        <v>2</v>
      </c>
      <c r="D112" s="44">
        <v>0</v>
      </c>
      <c r="E112" s="44">
        <v>12</v>
      </c>
    </row>
    <row r="113" spans="1:5" x14ac:dyDescent="0.2">
      <c r="A113" s="44" t="s">
        <v>173</v>
      </c>
      <c r="B113" s="44" t="s">
        <v>163</v>
      </c>
      <c r="C113" s="44" t="s">
        <v>2</v>
      </c>
      <c r="D113" s="44">
        <v>0</v>
      </c>
      <c r="E113" s="44">
        <v>12</v>
      </c>
    </row>
    <row r="114" spans="1:5" x14ac:dyDescent="0.2">
      <c r="A114" s="44" t="s">
        <v>173</v>
      </c>
      <c r="B114" s="44" t="s">
        <v>162</v>
      </c>
      <c r="C114" s="44" t="s">
        <v>2</v>
      </c>
      <c r="D114" s="44">
        <v>0</v>
      </c>
      <c r="E114" s="44">
        <v>12</v>
      </c>
    </row>
    <row r="115" spans="1:5" x14ac:dyDescent="0.2">
      <c r="A115" s="44" t="s">
        <v>173</v>
      </c>
      <c r="B115" s="44" t="s">
        <v>172</v>
      </c>
      <c r="C115" s="44" t="s">
        <v>7</v>
      </c>
      <c r="D115" s="44">
        <v>109</v>
      </c>
      <c r="E115" s="44">
        <v>12</v>
      </c>
    </row>
    <row r="116" spans="1:5" x14ac:dyDescent="0.2">
      <c r="A116" s="44" t="s">
        <v>173</v>
      </c>
      <c r="B116" s="44" t="s">
        <v>171</v>
      </c>
      <c r="C116" s="44" t="s">
        <v>7</v>
      </c>
      <c r="D116" s="44">
        <v>321</v>
      </c>
      <c r="E116" s="44">
        <v>12</v>
      </c>
    </row>
    <row r="117" spans="1:5" x14ac:dyDescent="0.2">
      <c r="A117" s="44" t="s">
        <v>173</v>
      </c>
      <c r="B117" s="44" t="s">
        <v>169</v>
      </c>
      <c r="C117" s="44" t="s">
        <v>7</v>
      </c>
      <c r="D117" s="44">
        <v>3190</v>
      </c>
      <c r="E117" s="44">
        <v>12</v>
      </c>
    </row>
    <row r="118" spans="1:5" x14ac:dyDescent="0.2">
      <c r="A118" s="44" t="s">
        <v>173</v>
      </c>
      <c r="B118" s="44" t="s">
        <v>168</v>
      </c>
      <c r="C118" s="44" t="s">
        <v>7</v>
      </c>
      <c r="D118" s="44">
        <v>231</v>
      </c>
      <c r="E118" s="44">
        <v>12</v>
      </c>
    </row>
    <row r="119" spans="1:5" x14ac:dyDescent="0.2">
      <c r="A119" s="44" t="s">
        <v>173</v>
      </c>
      <c r="B119" s="44" t="s">
        <v>167</v>
      </c>
      <c r="C119" s="44" t="s">
        <v>7</v>
      </c>
      <c r="D119" s="44">
        <v>79</v>
      </c>
      <c r="E119" s="44">
        <v>12</v>
      </c>
    </row>
    <row r="120" spans="1:5" x14ac:dyDescent="0.2">
      <c r="A120" s="44" t="s">
        <v>173</v>
      </c>
      <c r="B120" s="44" t="s">
        <v>166</v>
      </c>
      <c r="C120" s="44" t="s">
        <v>7</v>
      </c>
      <c r="D120" s="44">
        <v>393</v>
      </c>
      <c r="E120" s="44">
        <v>12</v>
      </c>
    </row>
    <row r="121" spans="1:5" x14ac:dyDescent="0.2">
      <c r="A121" s="44" t="s">
        <v>173</v>
      </c>
      <c r="B121" s="44" t="s">
        <v>164</v>
      </c>
      <c r="C121" s="44" t="s">
        <v>7</v>
      </c>
      <c r="D121" s="44">
        <v>32</v>
      </c>
      <c r="E121" s="44">
        <v>12</v>
      </c>
    </row>
    <row r="122" spans="1:5" x14ac:dyDescent="0.2">
      <c r="A122" s="44" t="s">
        <v>173</v>
      </c>
      <c r="B122" s="44" t="s">
        <v>163</v>
      </c>
      <c r="C122" s="44" t="s">
        <v>7</v>
      </c>
      <c r="D122" s="44">
        <v>38</v>
      </c>
      <c r="E122" s="44">
        <v>12</v>
      </c>
    </row>
    <row r="123" spans="1:5" x14ac:dyDescent="0.2">
      <c r="A123" s="44" t="s">
        <v>173</v>
      </c>
      <c r="B123" s="44" t="s">
        <v>162</v>
      </c>
      <c r="C123" s="44" t="s">
        <v>7</v>
      </c>
      <c r="D123" s="44">
        <v>164</v>
      </c>
      <c r="E123" s="44">
        <v>12</v>
      </c>
    </row>
    <row r="124" spans="1:5" x14ac:dyDescent="0.2">
      <c r="A124" s="44" t="s">
        <v>173</v>
      </c>
      <c r="B124" s="44" t="s">
        <v>172</v>
      </c>
      <c r="C124" s="44" t="s">
        <v>139</v>
      </c>
      <c r="D124" s="44">
        <v>43</v>
      </c>
      <c r="E124" s="44">
        <v>12</v>
      </c>
    </row>
    <row r="125" spans="1:5" x14ac:dyDescent="0.2">
      <c r="A125" s="44" t="s">
        <v>173</v>
      </c>
      <c r="B125" s="44" t="s">
        <v>171</v>
      </c>
      <c r="C125" s="44" t="s">
        <v>139</v>
      </c>
      <c r="D125" s="44">
        <v>363</v>
      </c>
      <c r="E125" s="44">
        <v>12</v>
      </c>
    </row>
    <row r="126" spans="1:5" x14ac:dyDescent="0.2">
      <c r="A126" s="44" t="s">
        <v>173</v>
      </c>
      <c r="B126" s="44" t="s">
        <v>169</v>
      </c>
      <c r="C126" s="44" t="s">
        <v>139</v>
      </c>
      <c r="D126" s="44">
        <v>171</v>
      </c>
      <c r="E126" s="44">
        <v>12</v>
      </c>
    </row>
    <row r="127" spans="1:5" x14ac:dyDescent="0.2">
      <c r="A127" s="44" t="s">
        <v>173</v>
      </c>
      <c r="B127" s="44" t="s">
        <v>168</v>
      </c>
      <c r="C127" s="44" t="s">
        <v>139</v>
      </c>
      <c r="D127" s="44">
        <v>21</v>
      </c>
      <c r="E127" s="44">
        <v>12</v>
      </c>
    </row>
    <row r="128" spans="1:5" x14ac:dyDescent="0.2">
      <c r="A128" s="44" t="s">
        <v>173</v>
      </c>
      <c r="B128" s="44" t="s">
        <v>167</v>
      </c>
      <c r="C128" s="44" t="s">
        <v>139</v>
      </c>
      <c r="D128" s="44">
        <v>21</v>
      </c>
      <c r="E128" s="44">
        <v>12</v>
      </c>
    </row>
    <row r="129" spans="1:5" x14ac:dyDescent="0.2">
      <c r="A129" s="44" t="s">
        <v>173</v>
      </c>
      <c r="B129" s="44" t="s">
        <v>166</v>
      </c>
      <c r="C129" s="44" t="s">
        <v>139</v>
      </c>
      <c r="D129" s="44">
        <v>213</v>
      </c>
      <c r="E129" s="44">
        <v>12</v>
      </c>
    </row>
    <row r="130" spans="1:5" x14ac:dyDescent="0.2">
      <c r="A130" s="44" t="s">
        <v>173</v>
      </c>
      <c r="B130" s="44" t="s">
        <v>164</v>
      </c>
      <c r="C130" s="44" t="s">
        <v>139</v>
      </c>
      <c r="D130" s="44">
        <v>11</v>
      </c>
      <c r="E130" s="44">
        <v>12</v>
      </c>
    </row>
    <row r="131" spans="1:5" x14ac:dyDescent="0.2">
      <c r="A131" s="44" t="s">
        <v>173</v>
      </c>
      <c r="B131" s="44" t="s">
        <v>163</v>
      </c>
      <c r="C131" s="44" t="s">
        <v>139</v>
      </c>
      <c r="D131" s="44">
        <v>0</v>
      </c>
      <c r="E131" s="44">
        <v>12</v>
      </c>
    </row>
    <row r="132" spans="1:5" x14ac:dyDescent="0.2">
      <c r="A132" s="44" t="s">
        <v>173</v>
      </c>
      <c r="B132" s="44" t="s">
        <v>162</v>
      </c>
      <c r="C132" s="44" t="s">
        <v>139</v>
      </c>
      <c r="D132" s="44">
        <v>21</v>
      </c>
      <c r="E132" s="44">
        <v>12</v>
      </c>
    </row>
    <row r="133" spans="1:5" x14ac:dyDescent="0.2">
      <c r="A133" s="44" t="s">
        <v>172</v>
      </c>
      <c r="B133" s="44" t="s">
        <v>144</v>
      </c>
      <c r="C133" s="44" t="s">
        <v>142</v>
      </c>
      <c r="D133" s="44">
        <v>70</v>
      </c>
      <c r="E133" s="44">
        <v>13</v>
      </c>
    </row>
    <row r="134" spans="1:5" x14ac:dyDescent="0.2">
      <c r="A134" s="44" t="s">
        <v>171</v>
      </c>
      <c r="B134" s="44" t="s">
        <v>144</v>
      </c>
      <c r="C134" s="44" t="s">
        <v>142</v>
      </c>
      <c r="D134" s="44">
        <v>-117</v>
      </c>
      <c r="E134" s="44">
        <v>13</v>
      </c>
    </row>
    <row r="135" spans="1:5" x14ac:dyDescent="0.2">
      <c r="A135" s="44" t="s">
        <v>169</v>
      </c>
      <c r="B135" s="44" t="s">
        <v>144</v>
      </c>
      <c r="C135" s="44" t="s">
        <v>142</v>
      </c>
      <c r="D135" s="44">
        <v>0</v>
      </c>
      <c r="E135" s="44">
        <v>13</v>
      </c>
    </row>
    <row r="136" spans="1:5" x14ac:dyDescent="0.2">
      <c r="A136" s="44" t="s">
        <v>168</v>
      </c>
      <c r="B136" s="44" t="s">
        <v>144</v>
      </c>
      <c r="C136" s="44" t="s">
        <v>142</v>
      </c>
      <c r="D136" s="44">
        <v>0</v>
      </c>
      <c r="E136" s="44">
        <v>13</v>
      </c>
    </row>
    <row r="137" spans="1:5" x14ac:dyDescent="0.2">
      <c r="A137" s="44" t="s">
        <v>167</v>
      </c>
      <c r="B137" s="44" t="s">
        <v>144</v>
      </c>
      <c r="C137" s="44" t="s">
        <v>142</v>
      </c>
      <c r="D137" s="44">
        <v>2</v>
      </c>
      <c r="E137" s="44">
        <v>13</v>
      </c>
    </row>
    <row r="138" spans="1:5" x14ac:dyDescent="0.2">
      <c r="A138" s="44" t="s">
        <v>166</v>
      </c>
      <c r="B138" s="44" t="s">
        <v>144</v>
      </c>
      <c r="C138" s="44" t="s">
        <v>142</v>
      </c>
      <c r="D138" s="44">
        <v>13</v>
      </c>
      <c r="E138" s="44">
        <v>13</v>
      </c>
    </row>
    <row r="139" spans="1:5" x14ac:dyDescent="0.2">
      <c r="A139" s="44" t="s">
        <v>164</v>
      </c>
      <c r="B139" s="44" t="s">
        <v>144</v>
      </c>
      <c r="C139" s="44" t="s">
        <v>142</v>
      </c>
      <c r="D139" s="44">
        <v>0</v>
      </c>
      <c r="E139" s="44">
        <v>13</v>
      </c>
    </row>
    <row r="140" spans="1:5" x14ac:dyDescent="0.2">
      <c r="A140" s="44" t="s">
        <v>163</v>
      </c>
      <c r="B140" s="44" t="s">
        <v>144</v>
      </c>
      <c r="C140" s="44" t="s">
        <v>142</v>
      </c>
      <c r="D140" s="44">
        <v>0</v>
      </c>
      <c r="E140" s="44">
        <v>13</v>
      </c>
    </row>
    <row r="141" spans="1:5" x14ac:dyDescent="0.2">
      <c r="A141" s="44" t="s">
        <v>162</v>
      </c>
      <c r="B141" s="44" t="s">
        <v>144</v>
      </c>
      <c r="C141" s="44" t="s">
        <v>142</v>
      </c>
      <c r="D141" s="44">
        <v>-1</v>
      </c>
      <c r="E141" s="44">
        <v>13</v>
      </c>
    </row>
    <row r="142" spans="1:5" x14ac:dyDescent="0.2">
      <c r="A142" s="44" t="s">
        <v>172</v>
      </c>
      <c r="B142" s="44" t="s">
        <v>144</v>
      </c>
      <c r="C142" s="44" t="s">
        <v>1</v>
      </c>
      <c r="D142" s="44">
        <v>-24</v>
      </c>
      <c r="E142" s="44">
        <v>13</v>
      </c>
    </row>
    <row r="143" spans="1:5" x14ac:dyDescent="0.2">
      <c r="A143" s="44" t="s">
        <v>171</v>
      </c>
      <c r="B143" s="44" t="s">
        <v>144</v>
      </c>
      <c r="C143" s="44" t="s">
        <v>1</v>
      </c>
      <c r="D143" s="44">
        <v>-16</v>
      </c>
      <c r="E143" s="44">
        <v>13</v>
      </c>
    </row>
    <row r="144" spans="1:5" x14ac:dyDescent="0.2">
      <c r="A144" s="44" t="s">
        <v>169</v>
      </c>
      <c r="B144" s="44" t="s">
        <v>144</v>
      </c>
      <c r="C144" s="44" t="s">
        <v>1</v>
      </c>
      <c r="D144" s="44">
        <v>0</v>
      </c>
      <c r="E144" s="44">
        <v>13</v>
      </c>
    </row>
    <row r="145" spans="1:5" x14ac:dyDescent="0.2">
      <c r="A145" s="44" t="s">
        <v>168</v>
      </c>
      <c r="B145" s="44" t="s">
        <v>144</v>
      </c>
      <c r="C145" s="44" t="s">
        <v>1</v>
      </c>
      <c r="D145" s="44">
        <v>0</v>
      </c>
      <c r="E145" s="44">
        <v>13</v>
      </c>
    </row>
    <row r="146" spans="1:5" x14ac:dyDescent="0.2">
      <c r="A146" s="44" t="s">
        <v>167</v>
      </c>
      <c r="B146" s="44" t="s">
        <v>144</v>
      </c>
      <c r="C146" s="44" t="s">
        <v>1</v>
      </c>
      <c r="D146" s="44">
        <v>4</v>
      </c>
      <c r="E146" s="44">
        <v>13</v>
      </c>
    </row>
    <row r="147" spans="1:5" x14ac:dyDescent="0.2">
      <c r="A147" s="44" t="s">
        <v>166</v>
      </c>
      <c r="B147" s="44" t="s">
        <v>144</v>
      </c>
      <c r="C147" s="44" t="s">
        <v>1</v>
      </c>
      <c r="D147" s="44">
        <v>37</v>
      </c>
      <c r="E147" s="44">
        <v>13</v>
      </c>
    </row>
    <row r="148" spans="1:5" x14ac:dyDescent="0.2">
      <c r="A148" s="44" t="s">
        <v>164</v>
      </c>
      <c r="B148" s="44" t="s">
        <v>144</v>
      </c>
      <c r="C148" s="44" t="s">
        <v>1</v>
      </c>
      <c r="D148" s="44">
        <v>0</v>
      </c>
      <c r="E148" s="44">
        <v>13</v>
      </c>
    </row>
    <row r="149" spans="1:5" x14ac:dyDescent="0.2">
      <c r="A149" s="44" t="s">
        <v>163</v>
      </c>
      <c r="B149" s="44" t="s">
        <v>144</v>
      </c>
      <c r="C149" s="44" t="s">
        <v>1</v>
      </c>
      <c r="D149" s="44">
        <v>0</v>
      </c>
      <c r="E149" s="44">
        <v>13</v>
      </c>
    </row>
    <row r="150" spans="1:5" x14ac:dyDescent="0.2">
      <c r="A150" s="44" t="s">
        <v>162</v>
      </c>
      <c r="B150" s="44" t="s">
        <v>144</v>
      </c>
      <c r="C150" s="44" t="s">
        <v>1</v>
      </c>
      <c r="D150" s="44">
        <v>-1</v>
      </c>
      <c r="E150" s="44">
        <v>13</v>
      </c>
    </row>
    <row r="151" spans="1:5" x14ac:dyDescent="0.2">
      <c r="A151" s="44" t="s">
        <v>172</v>
      </c>
      <c r="B151" s="44" t="s">
        <v>144</v>
      </c>
      <c r="C151" s="44" t="s">
        <v>10</v>
      </c>
      <c r="D151" s="44">
        <v>216</v>
      </c>
      <c r="E151" s="44">
        <v>13</v>
      </c>
    </row>
    <row r="152" spans="1:5" x14ac:dyDescent="0.2">
      <c r="A152" s="44" t="s">
        <v>171</v>
      </c>
      <c r="B152" s="44" t="s">
        <v>144</v>
      </c>
      <c r="C152" s="44" t="s">
        <v>10</v>
      </c>
      <c r="D152" s="44">
        <v>41</v>
      </c>
      <c r="E152" s="44">
        <v>13</v>
      </c>
    </row>
    <row r="153" spans="1:5" x14ac:dyDescent="0.2">
      <c r="A153" s="44" t="s">
        <v>169</v>
      </c>
      <c r="B153" s="44" t="s">
        <v>144</v>
      </c>
      <c r="C153" s="44" t="s">
        <v>10</v>
      </c>
      <c r="D153" s="44">
        <v>0</v>
      </c>
      <c r="E153" s="44">
        <v>13</v>
      </c>
    </row>
    <row r="154" spans="1:5" x14ac:dyDescent="0.2">
      <c r="A154" s="44" t="s">
        <v>168</v>
      </c>
      <c r="B154" s="44" t="s">
        <v>144</v>
      </c>
      <c r="C154" s="44" t="s">
        <v>10</v>
      </c>
      <c r="D154" s="44">
        <v>0</v>
      </c>
      <c r="E154" s="44">
        <v>13</v>
      </c>
    </row>
    <row r="155" spans="1:5" x14ac:dyDescent="0.2">
      <c r="A155" s="44" t="s">
        <v>167</v>
      </c>
      <c r="B155" s="44" t="s">
        <v>144</v>
      </c>
      <c r="C155" s="44" t="s">
        <v>10</v>
      </c>
      <c r="D155" s="44">
        <v>2</v>
      </c>
      <c r="E155" s="44">
        <v>13</v>
      </c>
    </row>
    <row r="156" spans="1:5" x14ac:dyDescent="0.2">
      <c r="A156" s="44" t="s">
        <v>166</v>
      </c>
      <c r="B156" s="44" t="s">
        <v>144</v>
      </c>
      <c r="C156" s="44" t="s">
        <v>10</v>
      </c>
      <c r="D156" s="44">
        <v>86</v>
      </c>
      <c r="E156" s="44">
        <v>13</v>
      </c>
    </row>
    <row r="157" spans="1:5" x14ac:dyDescent="0.2">
      <c r="A157" s="44" t="s">
        <v>164</v>
      </c>
      <c r="B157" s="44" t="s">
        <v>144</v>
      </c>
      <c r="C157" s="44" t="s">
        <v>10</v>
      </c>
      <c r="D157" s="44">
        <v>5</v>
      </c>
      <c r="E157" s="44">
        <v>13</v>
      </c>
    </row>
    <row r="158" spans="1:5" x14ac:dyDescent="0.2">
      <c r="A158" s="44" t="s">
        <v>163</v>
      </c>
      <c r="B158" s="44" t="s">
        <v>144</v>
      </c>
      <c r="C158" s="44" t="s">
        <v>10</v>
      </c>
      <c r="D158" s="44">
        <v>3</v>
      </c>
      <c r="E158" s="44">
        <v>13</v>
      </c>
    </row>
    <row r="159" spans="1:5" x14ac:dyDescent="0.2">
      <c r="A159" s="44" t="s">
        <v>162</v>
      </c>
      <c r="B159" s="44" t="s">
        <v>144</v>
      </c>
      <c r="C159" s="44" t="s">
        <v>10</v>
      </c>
      <c r="D159" s="44">
        <v>-1</v>
      </c>
      <c r="E159" s="44">
        <v>13</v>
      </c>
    </row>
    <row r="160" spans="1:5" x14ac:dyDescent="0.2">
      <c r="A160" s="44" t="s">
        <v>172</v>
      </c>
      <c r="B160" s="44" t="s">
        <v>144</v>
      </c>
      <c r="C160" s="44" t="s">
        <v>11</v>
      </c>
      <c r="D160" s="44">
        <v>0</v>
      </c>
      <c r="E160" s="44">
        <v>13</v>
      </c>
    </row>
    <row r="161" spans="1:5" x14ac:dyDescent="0.2">
      <c r="A161" s="44" t="s">
        <v>171</v>
      </c>
      <c r="B161" s="44" t="s">
        <v>144</v>
      </c>
      <c r="C161" s="44" t="s">
        <v>11</v>
      </c>
      <c r="D161" s="44">
        <v>0</v>
      </c>
      <c r="E161" s="44">
        <v>13</v>
      </c>
    </row>
    <row r="162" spans="1:5" x14ac:dyDescent="0.2">
      <c r="A162" s="44" t="s">
        <v>169</v>
      </c>
      <c r="B162" s="44" t="s">
        <v>144</v>
      </c>
      <c r="C162" s="44" t="s">
        <v>11</v>
      </c>
      <c r="D162" s="44">
        <v>0</v>
      </c>
      <c r="E162" s="44">
        <v>13</v>
      </c>
    </row>
    <row r="163" spans="1:5" x14ac:dyDescent="0.2">
      <c r="A163" s="44" t="s">
        <v>168</v>
      </c>
      <c r="B163" s="44" t="s">
        <v>144</v>
      </c>
      <c r="C163" s="44" t="s">
        <v>11</v>
      </c>
      <c r="D163" s="44">
        <v>0</v>
      </c>
      <c r="E163" s="44">
        <v>13</v>
      </c>
    </row>
    <row r="164" spans="1:5" x14ac:dyDescent="0.2">
      <c r="A164" s="44" t="s">
        <v>167</v>
      </c>
      <c r="B164" s="44" t="s">
        <v>144</v>
      </c>
      <c r="C164" s="44" t="s">
        <v>11</v>
      </c>
      <c r="D164" s="44">
        <v>2</v>
      </c>
      <c r="E164" s="44">
        <v>13</v>
      </c>
    </row>
    <row r="165" spans="1:5" x14ac:dyDescent="0.2">
      <c r="A165" s="44" t="s">
        <v>166</v>
      </c>
      <c r="B165" s="44" t="s">
        <v>144</v>
      </c>
      <c r="C165" s="44" t="s">
        <v>11</v>
      </c>
      <c r="D165" s="44">
        <v>18</v>
      </c>
      <c r="E165" s="44">
        <v>13</v>
      </c>
    </row>
    <row r="166" spans="1:5" x14ac:dyDescent="0.2">
      <c r="A166" s="44" t="s">
        <v>164</v>
      </c>
      <c r="B166" s="44" t="s">
        <v>144</v>
      </c>
      <c r="C166" s="44" t="s">
        <v>11</v>
      </c>
      <c r="D166" s="44">
        <v>0</v>
      </c>
      <c r="E166" s="44">
        <v>13</v>
      </c>
    </row>
    <row r="167" spans="1:5" x14ac:dyDescent="0.2">
      <c r="A167" s="44" t="s">
        <v>163</v>
      </c>
      <c r="B167" s="44" t="s">
        <v>144</v>
      </c>
      <c r="C167" s="44" t="s">
        <v>11</v>
      </c>
      <c r="D167" s="44">
        <v>0</v>
      </c>
      <c r="E167" s="44">
        <v>13</v>
      </c>
    </row>
    <row r="168" spans="1:5" x14ac:dyDescent="0.2">
      <c r="A168" s="44" t="s">
        <v>162</v>
      </c>
      <c r="B168" s="44" t="s">
        <v>144</v>
      </c>
      <c r="C168" s="44" t="s">
        <v>11</v>
      </c>
      <c r="D168" s="44">
        <v>-1</v>
      </c>
      <c r="E168" s="44">
        <v>13</v>
      </c>
    </row>
    <row r="169" spans="1:5" x14ac:dyDescent="0.2">
      <c r="A169" s="44" t="s">
        <v>172</v>
      </c>
      <c r="B169" s="44" t="s">
        <v>144</v>
      </c>
      <c r="C169" s="44" t="s">
        <v>2</v>
      </c>
      <c r="D169" s="44">
        <v>0</v>
      </c>
      <c r="E169" s="44">
        <v>13</v>
      </c>
    </row>
    <row r="170" spans="1:5" x14ac:dyDescent="0.2">
      <c r="A170" s="44" t="s">
        <v>171</v>
      </c>
      <c r="B170" s="44" t="s">
        <v>144</v>
      </c>
      <c r="C170" s="44" t="s">
        <v>2</v>
      </c>
      <c r="D170" s="44">
        <v>0</v>
      </c>
      <c r="E170" s="44">
        <v>13</v>
      </c>
    </row>
    <row r="171" spans="1:5" x14ac:dyDescent="0.2">
      <c r="A171" s="44" t="s">
        <v>169</v>
      </c>
      <c r="B171" s="44" t="s">
        <v>144</v>
      </c>
      <c r="C171" s="44" t="s">
        <v>2</v>
      </c>
      <c r="D171" s="44">
        <v>0</v>
      </c>
      <c r="E171" s="44">
        <v>13</v>
      </c>
    </row>
    <row r="172" spans="1:5" x14ac:dyDescent="0.2">
      <c r="A172" s="44" t="s">
        <v>168</v>
      </c>
      <c r="B172" s="44" t="s">
        <v>144</v>
      </c>
      <c r="C172" s="44" t="s">
        <v>2</v>
      </c>
      <c r="D172" s="44">
        <v>0</v>
      </c>
      <c r="E172" s="44">
        <v>13</v>
      </c>
    </row>
    <row r="173" spans="1:5" x14ac:dyDescent="0.2">
      <c r="A173" s="44" t="s">
        <v>167</v>
      </c>
      <c r="B173" s="44" t="s">
        <v>144</v>
      </c>
      <c r="C173" s="44" t="s">
        <v>2</v>
      </c>
      <c r="D173" s="44">
        <v>0</v>
      </c>
      <c r="E173" s="44">
        <v>13</v>
      </c>
    </row>
    <row r="174" spans="1:5" x14ac:dyDescent="0.2">
      <c r="A174" s="44" t="s">
        <v>166</v>
      </c>
      <c r="B174" s="44" t="s">
        <v>144</v>
      </c>
      <c r="C174" s="44" t="s">
        <v>2</v>
      </c>
      <c r="D174" s="44">
        <v>80</v>
      </c>
      <c r="E174" s="44">
        <v>13</v>
      </c>
    </row>
    <row r="175" spans="1:5" x14ac:dyDescent="0.2">
      <c r="A175" s="44" t="s">
        <v>164</v>
      </c>
      <c r="B175" s="44" t="s">
        <v>144</v>
      </c>
      <c r="C175" s="44" t="s">
        <v>2</v>
      </c>
      <c r="D175" s="44">
        <v>0</v>
      </c>
      <c r="E175" s="44">
        <v>13</v>
      </c>
    </row>
    <row r="176" spans="1:5" x14ac:dyDescent="0.2">
      <c r="A176" s="44" t="s">
        <v>163</v>
      </c>
      <c r="B176" s="44" t="s">
        <v>144</v>
      </c>
      <c r="C176" s="44" t="s">
        <v>2</v>
      </c>
      <c r="D176" s="44">
        <v>4</v>
      </c>
      <c r="E176" s="44">
        <v>13</v>
      </c>
    </row>
    <row r="177" spans="1:5" x14ac:dyDescent="0.2">
      <c r="A177" s="44" t="s">
        <v>162</v>
      </c>
      <c r="B177" s="44" t="s">
        <v>144</v>
      </c>
      <c r="C177" s="44" t="s">
        <v>2</v>
      </c>
      <c r="D177" s="44">
        <v>0</v>
      </c>
      <c r="E177" s="44">
        <v>13</v>
      </c>
    </row>
    <row r="178" spans="1:5" x14ac:dyDescent="0.2">
      <c r="A178" s="44" t="s">
        <v>172</v>
      </c>
      <c r="B178" s="44" t="s">
        <v>144</v>
      </c>
      <c r="C178" s="44" t="s">
        <v>7</v>
      </c>
      <c r="D178" s="44">
        <v>53</v>
      </c>
      <c r="E178" s="44">
        <v>13</v>
      </c>
    </row>
    <row r="179" spans="1:5" x14ac:dyDescent="0.2">
      <c r="A179" s="44" t="s">
        <v>171</v>
      </c>
      <c r="B179" s="44" t="s">
        <v>144</v>
      </c>
      <c r="C179" s="44" t="s">
        <v>7</v>
      </c>
      <c r="D179" s="44">
        <v>8</v>
      </c>
      <c r="E179" s="44">
        <v>13</v>
      </c>
    </row>
    <row r="180" spans="1:5" x14ac:dyDescent="0.2">
      <c r="A180" s="44" t="s">
        <v>169</v>
      </c>
      <c r="B180" s="44" t="s">
        <v>144</v>
      </c>
      <c r="C180" s="44" t="s">
        <v>7</v>
      </c>
      <c r="D180" s="44">
        <v>12</v>
      </c>
      <c r="E180" s="44">
        <v>13</v>
      </c>
    </row>
    <row r="181" spans="1:5" x14ac:dyDescent="0.2">
      <c r="A181" s="44" t="s">
        <v>168</v>
      </c>
      <c r="B181" s="44" t="s">
        <v>144</v>
      </c>
      <c r="C181" s="44" t="s">
        <v>7</v>
      </c>
      <c r="D181" s="44">
        <v>0</v>
      </c>
      <c r="E181" s="44">
        <v>13</v>
      </c>
    </row>
    <row r="182" spans="1:5" x14ac:dyDescent="0.2">
      <c r="A182" s="44" t="s">
        <v>167</v>
      </c>
      <c r="B182" s="44" t="s">
        <v>144</v>
      </c>
      <c r="C182" s="44" t="s">
        <v>7</v>
      </c>
      <c r="D182" s="44">
        <v>1</v>
      </c>
      <c r="E182" s="44">
        <v>13</v>
      </c>
    </row>
    <row r="183" spans="1:5" x14ac:dyDescent="0.2">
      <c r="A183" s="44" t="s">
        <v>166</v>
      </c>
      <c r="B183" s="44" t="s">
        <v>144</v>
      </c>
      <c r="C183" s="44" t="s">
        <v>7</v>
      </c>
      <c r="D183" s="44">
        <v>2</v>
      </c>
      <c r="E183" s="44">
        <v>13</v>
      </c>
    </row>
    <row r="184" spans="1:5" x14ac:dyDescent="0.2">
      <c r="A184" s="44" t="s">
        <v>164</v>
      </c>
      <c r="B184" s="44" t="s">
        <v>144</v>
      </c>
      <c r="C184" s="44" t="s">
        <v>7</v>
      </c>
      <c r="D184" s="44">
        <v>0</v>
      </c>
      <c r="E184" s="44">
        <v>13</v>
      </c>
    </row>
    <row r="185" spans="1:5" x14ac:dyDescent="0.2">
      <c r="A185" s="44" t="s">
        <v>163</v>
      </c>
      <c r="B185" s="44" t="s">
        <v>144</v>
      </c>
      <c r="C185" s="44" t="s">
        <v>7</v>
      </c>
      <c r="D185" s="44">
        <v>0</v>
      </c>
      <c r="E185" s="44">
        <v>13</v>
      </c>
    </row>
    <row r="186" spans="1:5" x14ac:dyDescent="0.2">
      <c r="A186" s="44" t="s">
        <v>162</v>
      </c>
      <c r="B186" s="44" t="s">
        <v>144</v>
      </c>
      <c r="C186" s="44" t="s">
        <v>7</v>
      </c>
      <c r="D186" s="44">
        <v>0</v>
      </c>
      <c r="E186" s="44">
        <v>13</v>
      </c>
    </row>
    <row r="187" spans="1:5" x14ac:dyDescent="0.2">
      <c r="A187" s="44" t="s">
        <v>172</v>
      </c>
      <c r="B187" s="44" t="s">
        <v>144</v>
      </c>
      <c r="C187" s="44" t="s">
        <v>139</v>
      </c>
      <c r="D187" s="44">
        <v>385</v>
      </c>
      <c r="E187" s="44">
        <v>13</v>
      </c>
    </row>
    <row r="188" spans="1:5" x14ac:dyDescent="0.2">
      <c r="A188" s="44" t="s">
        <v>171</v>
      </c>
      <c r="B188" s="44" t="s">
        <v>144</v>
      </c>
      <c r="C188" s="44" t="s">
        <v>139</v>
      </c>
      <c r="D188" s="44">
        <v>0</v>
      </c>
      <c r="E188" s="44">
        <v>13</v>
      </c>
    </row>
    <row r="189" spans="1:5" x14ac:dyDescent="0.2">
      <c r="A189" s="44" t="s">
        <v>169</v>
      </c>
      <c r="B189" s="44" t="s">
        <v>144</v>
      </c>
      <c r="C189" s="44" t="s">
        <v>139</v>
      </c>
      <c r="D189" s="44">
        <v>0</v>
      </c>
      <c r="E189" s="44">
        <v>13</v>
      </c>
    </row>
    <row r="190" spans="1:5" x14ac:dyDescent="0.2">
      <c r="A190" s="44" t="s">
        <v>168</v>
      </c>
      <c r="B190" s="44" t="s">
        <v>144</v>
      </c>
      <c r="C190" s="44" t="s">
        <v>139</v>
      </c>
      <c r="D190" s="44">
        <v>0</v>
      </c>
      <c r="E190" s="44">
        <v>13</v>
      </c>
    </row>
    <row r="191" spans="1:5" x14ac:dyDescent="0.2">
      <c r="A191" s="44" t="s">
        <v>167</v>
      </c>
      <c r="B191" s="44" t="s">
        <v>144</v>
      </c>
      <c r="C191" s="44" t="s">
        <v>139</v>
      </c>
      <c r="D191" s="44">
        <v>0</v>
      </c>
      <c r="E191" s="44">
        <v>13</v>
      </c>
    </row>
    <row r="192" spans="1:5" x14ac:dyDescent="0.2">
      <c r="A192" s="44" t="s">
        <v>166</v>
      </c>
      <c r="B192" s="44" t="s">
        <v>144</v>
      </c>
      <c r="C192" s="44" t="s">
        <v>139</v>
      </c>
      <c r="D192" s="44">
        <v>0</v>
      </c>
      <c r="E192" s="44">
        <v>13</v>
      </c>
    </row>
    <row r="193" spans="1:5" x14ac:dyDescent="0.2">
      <c r="A193" s="44" t="s">
        <v>164</v>
      </c>
      <c r="B193" s="44" t="s">
        <v>144</v>
      </c>
      <c r="C193" s="44" t="s">
        <v>139</v>
      </c>
      <c r="D193" s="44">
        <v>0</v>
      </c>
      <c r="E193" s="44">
        <v>13</v>
      </c>
    </row>
    <row r="194" spans="1:5" x14ac:dyDescent="0.2">
      <c r="A194" s="44" t="s">
        <v>163</v>
      </c>
      <c r="B194" s="44" t="s">
        <v>144</v>
      </c>
      <c r="C194" s="44" t="s">
        <v>139</v>
      </c>
      <c r="D194" s="44">
        <v>0</v>
      </c>
      <c r="E194" s="44">
        <v>13</v>
      </c>
    </row>
    <row r="195" spans="1:5" x14ac:dyDescent="0.2">
      <c r="A195" s="44" t="s">
        <v>162</v>
      </c>
      <c r="B195" s="44" t="s">
        <v>144</v>
      </c>
      <c r="C195" s="44" t="s">
        <v>139</v>
      </c>
      <c r="D195" s="44">
        <v>0</v>
      </c>
      <c r="E195" s="44">
        <v>13</v>
      </c>
    </row>
    <row r="196" spans="1:5" x14ac:dyDescent="0.2">
      <c r="A196" s="44" t="s">
        <v>172</v>
      </c>
      <c r="B196" s="44" t="s">
        <v>161</v>
      </c>
      <c r="C196" s="44" t="s">
        <v>142</v>
      </c>
      <c r="D196" s="44">
        <v>81</v>
      </c>
      <c r="E196" s="44">
        <v>14</v>
      </c>
    </row>
    <row r="197" spans="1:5" x14ac:dyDescent="0.2">
      <c r="A197" s="44" t="s">
        <v>171</v>
      </c>
      <c r="B197" s="44" t="s">
        <v>170</v>
      </c>
      <c r="C197" s="44" t="s">
        <v>142</v>
      </c>
      <c r="D197" s="44">
        <v>4448</v>
      </c>
      <c r="E197" s="44">
        <v>14</v>
      </c>
    </row>
    <row r="198" spans="1:5" x14ac:dyDescent="0.2">
      <c r="A198" s="44" t="s">
        <v>169</v>
      </c>
      <c r="B198" s="44" t="s">
        <v>161</v>
      </c>
      <c r="C198" s="44" t="s">
        <v>142</v>
      </c>
      <c r="D198" s="44">
        <v>432</v>
      </c>
      <c r="E198" s="44">
        <v>14</v>
      </c>
    </row>
    <row r="199" spans="1:5" x14ac:dyDescent="0.2">
      <c r="A199" s="44" t="s">
        <v>168</v>
      </c>
      <c r="B199" s="44" t="s">
        <v>161</v>
      </c>
      <c r="C199" s="44" t="s">
        <v>142</v>
      </c>
      <c r="D199" s="44">
        <v>138</v>
      </c>
      <c r="E199" s="44">
        <v>14</v>
      </c>
    </row>
    <row r="200" spans="1:5" x14ac:dyDescent="0.2">
      <c r="A200" s="44" t="s">
        <v>167</v>
      </c>
      <c r="B200" s="44" t="s">
        <v>161</v>
      </c>
      <c r="C200" s="44" t="s">
        <v>142</v>
      </c>
      <c r="D200" s="44">
        <v>35</v>
      </c>
      <c r="E200" s="44">
        <v>14</v>
      </c>
    </row>
    <row r="201" spans="1:5" x14ac:dyDescent="0.2">
      <c r="A201" s="44" t="s">
        <v>166</v>
      </c>
      <c r="B201" s="44" t="s">
        <v>165</v>
      </c>
      <c r="C201" s="44" t="s">
        <v>142</v>
      </c>
      <c r="D201" s="44">
        <v>2002</v>
      </c>
      <c r="E201" s="44">
        <v>14</v>
      </c>
    </row>
    <row r="202" spans="1:5" x14ac:dyDescent="0.2">
      <c r="A202" s="44" t="s">
        <v>164</v>
      </c>
      <c r="B202" s="44" t="s">
        <v>161</v>
      </c>
      <c r="C202" s="44" t="s">
        <v>142</v>
      </c>
      <c r="D202" s="44">
        <v>116</v>
      </c>
      <c r="E202" s="44">
        <v>14</v>
      </c>
    </row>
    <row r="203" spans="1:5" x14ac:dyDescent="0.2">
      <c r="A203" s="44" t="s">
        <v>163</v>
      </c>
      <c r="B203" s="44" t="s">
        <v>161</v>
      </c>
      <c r="C203" s="44" t="s">
        <v>142</v>
      </c>
      <c r="D203" s="44">
        <v>111</v>
      </c>
      <c r="E203" s="44">
        <v>14</v>
      </c>
    </row>
    <row r="204" spans="1:5" x14ac:dyDescent="0.2">
      <c r="A204" s="44" t="s">
        <v>162</v>
      </c>
      <c r="B204" s="44" t="s">
        <v>161</v>
      </c>
      <c r="C204" s="44" t="s">
        <v>142</v>
      </c>
      <c r="D204" s="44">
        <v>9</v>
      </c>
      <c r="E204" s="44">
        <v>14</v>
      </c>
    </row>
    <row r="205" spans="1:5" x14ac:dyDescent="0.2">
      <c r="A205" s="44" t="s">
        <v>172</v>
      </c>
      <c r="B205" s="44" t="s">
        <v>161</v>
      </c>
      <c r="C205" s="44" t="s">
        <v>1</v>
      </c>
      <c r="D205" s="44">
        <v>248</v>
      </c>
      <c r="E205" s="44">
        <v>14</v>
      </c>
    </row>
    <row r="206" spans="1:5" x14ac:dyDescent="0.2">
      <c r="A206" s="44" t="s">
        <v>171</v>
      </c>
      <c r="B206" s="44" t="s">
        <v>170</v>
      </c>
      <c r="C206" s="44" t="s">
        <v>1</v>
      </c>
      <c r="D206" s="44">
        <v>3645</v>
      </c>
      <c r="E206" s="44">
        <v>14</v>
      </c>
    </row>
    <row r="207" spans="1:5" x14ac:dyDescent="0.2">
      <c r="A207" s="44" t="s">
        <v>169</v>
      </c>
      <c r="B207" s="44" t="s">
        <v>161</v>
      </c>
      <c r="C207" s="44" t="s">
        <v>1</v>
      </c>
      <c r="D207" s="44">
        <v>1310</v>
      </c>
      <c r="E207" s="44">
        <v>14</v>
      </c>
    </row>
    <row r="208" spans="1:5" x14ac:dyDescent="0.2">
      <c r="A208" s="44" t="s">
        <v>168</v>
      </c>
      <c r="B208" s="44" t="s">
        <v>161</v>
      </c>
      <c r="C208" s="44" t="s">
        <v>1</v>
      </c>
      <c r="D208" s="44">
        <v>26</v>
      </c>
      <c r="E208" s="44">
        <v>14</v>
      </c>
    </row>
    <row r="209" spans="1:5" x14ac:dyDescent="0.2">
      <c r="A209" s="44" t="s">
        <v>167</v>
      </c>
      <c r="B209" s="44" t="s">
        <v>161</v>
      </c>
      <c r="C209" s="44" t="s">
        <v>1</v>
      </c>
      <c r="D209" s="44">
        <v>16</v>
      </c>
      <c r="E209" s="44">
        <v>14</v>
      </c>
    </row>
    <row r="210" spans="1:5" x14ac:dyDescent="0.2">
      <c r="A210" s="44" t="s">
        <v>166</v>
      </c>
      <c r="B210" s="44" t="s">
        <v>165</v>
      </c>
      <c r="C210" s="44" t="s">
        <v>1</v>
      </c>
      <c r="D210" s="44">
        <v>1246</v>
      </c>
      <c r="E210" s="44">
        <v>14</v>
      </c>
    </row>
    <row r="211" spans="1:5" x14ac:dyDescent="0.2">
      <c r="A211" s="44" t="s">
        <v>164</v>
      </c>
      <c r="B211" s="44" t="s">
        <v>161</v>
      </c>
      <c r="C211" s="44" t="s">
        <v>1</v>
      </c>
      <c r="D211" s="44">
        <v>101</v>
      </c>
      <c r="E211" s="44">
        <v>14</v>
      </c>
    </row>
    <row r="212" spans="1:5" x14ac:dyDescent="0.2">
      <c r="A212" s="44" t="s">
        <v>163</v>
      </c>
      <c r="B212" s="44" t="s">
        <v>161</v>
      </c>
      <c r="C212" s="44" t="s">
        <v>1</v>
      </c>
      <c r="D212" s="44">
        <v>0</v>
      </c>
      <c r="E212" s="44">
        <v>14</v>
      </c>
    </row>
    <row r="213" spans="1:5" x14ac:dyDescent="0.2">
      <c r="A213" s="44" t="s">
        <v>162</v>
      </c>
      <c r="B213" s="44" t="s">
        <v>161</v>
      </c>
      <c r="C213" s="44" t="s">
        <v>1</v>
      </c>
      <c r="D213" s="44">
        <v>26</v>
      </c>
      <c r="E213" s="44">
        <v>14</v>
      </c>
    </row>
    <row r="214" spans="1:5" x14ac:dyDescent="0.2">
      <c r="A214" s="44" t="s">
        <v>172</v>
      </c>
      <c r="B214" s="44" t="s">
        <v>161</v>
      </c>
      <c r="C214" s="44" t="s">
        <v>10</v>
      </c>
      <c r="D214" s="44">
        <v>1199</v>
      </c>
      <c r="E214" s="44">
        <v>14</v>
      </c>
    </row>
    <row r="215" spans="1:5" x14ac:dyDescent="0.2">
      <c r="A215" s="44" t="s">
        <v>171</v>
      </c>
      <c r="B215" s="44" t="s">
        <v>170</v>
      </c>
      <c r="C215" s="44" t="s">
        <v>10</v>
      </c>
      <c r="D215" s="44">
        <v>2869</v>
      </c>
      <c r="E215" s="44">
        <v>14</v>
      </c>
    </row>
    <row r="216" spans="1:5" x14ac:dyDescent="0.2">
      <c r="A216" s="44" t="s">
        <v>169</v>
      </c>
      <c r="B216" s="44" t="s">
        <v>161</v>
      </c>
      <c r="C216" s="44" t="s">
        <v>10</v>
      </c>
      <c r="D216" s="44">
        <v>299</v>
      </c>
      <c r="E216" s="44">
        <v>14</v>
      </c>
    </row>
    <row r="217" spans="1:5" x14ac:dyDescent="0.2">
      <c r="A217" s="44" t="s">
        <v>168</v>
      </c>
      <c r="B217" s="44" t="s">
        <v>161</v>
      </c>
      <c r="C217" s="44" t="s">
        <v>10</v>
      </c>
      <c r="D217" s="44">
        <v>203</v>
      </c>
      <c r="E217" s="44">
        <v>14</v>
      </c>
    </row>
    <row r="218" spans="1:5" x14ac:dyDescent="0.2">
      <c r="A218" s="44" t="s">
        <v>167</v>
      </c>
      <c r="B218" s="44" t="s">
        <v>161</v>
      </c>
      <c r="C218" s="44" t="s">
        <v>10</v>
      </c>
      <c r="D218" s="44">
        <v>461</v>
      </c>
      <c r="E218" s="44">
        <v>14</v>
      </c>
    </row>
    <row r="219" spans="1:5" x14ac:dyDescent="0.2">
      <c r="A219" s="44" t="s">
        <v>166</v>
      </c>
      <c r="B219" s="44" t="s">
        <v>165</v>
      </c>
      <c r="C219" s="44" t="s">
        <v>10</v>
      </c>
      <c r="D219" s="44">
        <v>2383</v>
      </c>
      <c r="E219" s="44">
        <v>14</v>
      </c>
    </row>
    <row r="220" spans="1:5" x14ac:dyDescent="0.2">
      <c r="A220" s="44" t="s">
        <v>164</v>
      </c>
      <c r="B220" s="44" t="s">
        <v>161</v>
      </c>
      <c r="C220" s="44" t="s">
        <v>10</v>
      </c>
      <c r="D220" s="44">
        <v>142</v>
      </c>
      <c r="E220" s="44">
        <v>14</v>
      </c>
    </row>
    <row r="221" spans="1:5" x14ac:dyDescent="0.2">
      <c r="A221" s="44" t="s">
        <v>163</v>
      </c>
      <c r="B221" s="44" t="s">
        <v>161</v>
      </c>
      <c r="C221" s="44" t="s">
        <v>10</v>
      </c>
      <c r="D221" s="44">
        <v>3</v>
      </c>
      <c r="E221" s="44">
        <v>14</v>
      </c>
    </row>
    <row r="222" spans="1:5" x14ac:dyDescent="0.2">
      <c r="A222" s="44" t="s">
        <v>162</v>
      </c>
      <c r="B222" s="44" t="s">
        <v>161</v>
      </c>
      <c r="C222" s="44" t="s">
        <v>10</v>
      </c>
      <c r="D222" s="44">
        <v>421</v>
      </c>
      <c r="E222" s="44">
        <v>14</v>
      </c>
    </row>
    <row r="223" spans="1:5" x14ac:dyDescent="0.2">
      <c r="A223" s="44" t="s">
        <v>172</v>
      </c>
      <c r="B223" s="44" t="s">
        <v>161</v>
      </c>
      <c r="C223" s="44" t="s">
        <v>11</v>
      </c>
      <c r="D223" s="44">
        <v>0</v>
      </c>
      <c r="E223" s="44">
        <v>14</v>
      </c>
    </row>
    <row r="224" spans="1:5" x14ac:dyDescent="0.2">
      <c r="A224" s="44" t="s">
        <v>171</v>
      </c>
      <c r="B224" s="44" t="s">
        <v>170</v>
      </c>
      <c r="C224" s="44" t="s">
        <v>11</v>
      </c>
      <c r="D224" s="44">
        <v>687</v>
      </c>
      <c r="E224" s="44">
        <v>14</v>
      </c>
    </row>
    <row r="225" spans="1:5" x14ac:dyDescent="0.2">
      <c r="A225" s="44" t="s">
        <v>169</v>
      </c>
      <c r="B225" s="44" t="s">
        <v>161</v>
      </c>
      <c r="C225" s="44" t="s">
        <v>11</v>
      </c>
      <c r="D225" s="44">
        <v>250</v>
      </c>
      <c r="E225" s="44">
        <v>14</v>
      </c>
    </row>
    <row r="226" spans="1:5" x14ac:dyDescent="0.2">
      <c r="A226" s="44" t="s">
        <v>168</v>
      </c>
      <c r="B226" s="44" t="s">
        <v>161</v>
      </c>
      <c r="C226" s="44" t="s">
        <v>11</v>
      </c>
      <c r="D226" s="44">
        <v>199</v>
      </c>
      <c r="E226" s="44">
        <v>14</v>
      </c>
    </row>
    <row r="227" spans="1:5" x14ac:dyDescent="0.2">
      <c r="A227" s="44" t="s">
        <v>167</v>
      </c>
      <c r="B227" s="44" t="s">
        <v>161</v>
      </c>
      <c r="C227" s="44" t="s">
        <v>11</v>
      </c>
      <c r="D227" s="44">
        <v>58</v>
      </c>
      <c r="E227" s="44">
        <v>14</v>
      </c>
    </row>
    <row r="228" spans="1:5" x14ac:dyDescent="0.2">
      <c r="A228" s="44" t="s">
        <v>166</v>
      </c>
      <c r="B228" s="44" t="s">
        <v>165</v>
      </c>
      <c r="C228" s="44" t="s">
        <v>11</v>
      </c>
      <c r="D228" s="44">
        <v>1132</v>
      </c>
      <c r="E228" s="44">
        <v>14</v>
      </c>
    </row>
    <row r="229" spans="1:5" x14ac:dyDescent="0.2">
      <c r="A229" s="44" t="s">
        <v>164</v>
      </c>
      <c r="B229" s="44" t="s">
        <v>161</v>
      </c>
      <c r="C229" s="44" t="s">
        <v>11</v>
      </c>
      <c r="D229" s="44">
        <v>0</v>
      </c>
      <c r="E229" s="44">
        <v>14</v>
      </c>
    </row>
    <row r="230" spans="1:5" x14ac:dyDescent="0.2">
      <c r="A230" s="44" t="s">
        <v>163</v>
      </c>
      <c r="B230" s="44" t="s">
        <v>161</v>
      </c>
      <c r="C230" s="44" t="s">
        <v>11</v>
      </c>
      <c r="D230" s="44">
        <v>0</v>
      </c>
      <c r="E230" s="44">
        <v>14</v>
      </c>
    </row>
    <row r="231" spans="1:5" x14ac:dyDescent="0.2">
      <c r="A231" s="44" t="s">
        <v>162</v>
      </c>
      <c r="B231" s="44" t="s">
        <v>161</v>
      </c>
      <c r="C231" s="44" t="s">
        <v>11</v>
      </c>
      <c r="D231" s="44">
        <v>25</v>
      </c>
      <c r="E231" s="44">
        <v>14</v>
      </c>
    </row>
    <row r="232" spans="1:5" x14ac:dyDescent="0.2">
      <c r="A232" s="44" t="s">
        <v>172</v>
      </c>
      <c r="B232" s="44" t="s">
        <v>161</v>
      </c>
      <c r="C232" s="44" t="s">
        <v>2</v>
      </c>
      <c r="D232" s="44">
        <v>0</v>
      </c>
      <c r="E232" s="44">
        <v>14</v>
      </c>
    </row>
    <row r="233" spans="1:5" x14ac:dyDescent="0.2">
      <c r="A233" s="44" t="s">
        <v>171</v>
      </c>
      <c r="B233" s="44" t="s">
        <v>170</v>
      </c>
      <c r="C233" s="44" t="s">
        <v>2</v>
      </c>
      <c r="D233" s="44">
        <v>2536</v>
      </c>
      <c r="E233" s="44">
        <v>14</v>
      </c>
    </row>
    <row r="234" spans="1:5" x14ac:dyDescent="0.2">
      <c r="A234" s="44" t="s">
        <v>169</v>
      </c>
      <c r="B234" s="44" t="s">
        <v>161</v>
      </c>
      <c r="C234" s="44" t="s">
        <v>2</v>
      </c>
      <c r="D234" s="44">
        <v>0</v>
      </c>
      <c r="E234" s="44">
        <v>14</v>
      </c>
    </row>
    <row r="235" spans="1:5" x14ac:dyDescent="0.2">
      <c r="A235" s="44" t="s">
        <v>168</v>
      </c>
      <c r="B235" s="44" t="s">
        <v>161</v>
      </c>
      <c r="C235" s="44" t="s">
        <v>2</v>
      </c>
      <c r="D235" s="44">
        <v>0</v>
      </c>
      <c r="E235" s="44">
        <v>14</v>
      </c>
    </row>
    <row r="236" spans="1:5" x14ac:dyDescent="0.2">
      <c r="A236" s="44" t="s">
        <v>167</v>
      </c>
      <c r="B236" s="44" t="s">
        <v>161</v>
      </c>
      <c r="C236" s="44" t="s">
        <v>2</v>
      </c>
      <c r="D236" s="44">
        <v>0</v>
      </c>
      <c r="E236" s="44">
        <v>14</v>
      </c>
    </row>
    <row r="237" spans="1:5" x14ac:dyDescent="0.2">
      <c r="A237" s="44" t="s">
        <v>166</v>
      </c>
      <c r="B237" s="44" t="s">
        <v>165</v>
      </c>
      <c r="C237" s="44" t="s">
        <v>2</v>
      </c>
      <c r="D237" s="44">
        <v>2806</v>
      </c>
      <c r="E237" s="44">
        <v>14</v>
      </c>
    </row>
    <row r="238" spans="1:5" x14ac:dyDescent="0.2">
      <c r="A238" s="44" t="s">
        <v>164</v>
      </c>
      <c r="B238" s="44" t="s">
        <v>161</v>
      </c>
      <c r="C238" s="44" t="s">
        <v>2</v>
      </c>
      <c r="D238" s="44">
        <v>0</v>
      </c>
      <c r="E238" s="44">
        <v>14</v>
      </c>
    </row>
    <row r="239" spans="1:5" x14ac:dyDescent="0.2">
      <c r="A239" s="44" t="s">
        <v>163</v>
      </c>
      <c r="B239" s="44" t="s">
        <v>161</v>
      </c>
      <c r="C239" s="44" t="s">
        <v>2</v>
      </c>
      <c r="D239" s="44">
        <v>4</v>
      </c>
      <c r="E239" s="44">
        <v>14</v>
      </c>
    </row>
    <row r="240" spans="1:5" x14ac:dyDescent="0.2">
      <c r="A240" s="44" t="s">
        <v>162</v>
      </c>
      <c r="B240" s="44" t="s">
        <v>161</v>
      </c>
      <c r="C240" s="44" t="s">
        <v>2</v>
      </c>
      <c r="D240" s="44">
        <v>0</v>
      </c>
      <c r="E240" s="44">
        <v>14</v>
      </c>
    </row>
    <row r="241" spans="1:5" x14ac:dyDescent="0.2">
      <c r="A241" s="44" t="s">
        <v>172</v>
      </c>
      <c r="B241" s="44" t="s">
        <v>161</v>
      </c>
      <c r="C241" s="44" t="s">
        <v>7</v>
      </c>
      <c r="D241" s="44">
        <v>162</v>
      </c>
      <c r="E241" s="44">
        <v>14</v>
      </c>
    </row>
    <row r="242" spans="1:5" x14ac:dyDescent="0.2">
      <c r="A242" s="44" t="s">
        <v>171</v>
      </c>
      <c r="B242" s="44" t="s">
        <v>170</v>
      </c>
      <c r="C242" s="44" t="s">
        <v>7</v>
      </c>
      <c r="D242" s="44">
        <v>329</v>
      </c>
      <c r="E242" s="44">
        <v>14</v>
      </c>
    </row>
    <row r="243" spans="1:5" x14ac:dyDescent="0.2">
      <c r="A243" s="44" t="s">
        <v>169</v>
      </c>
      <c r="B243" s="44" t="s">
        <v>161</v>
      </c>
      <c r="C243" s="44" t="s">
        <v>7</v>
      </c>
      <c r="D243" s="44">
        <v>3202</v>
      </c>
      <c r="E243" s="44">
        <v>14</v>
      </c>
    </row>
    <row r="244" spans="1:5" x14ac:dyDescent="0.2">
      <c r="A244" s="44" t="s">
        <v>168</v>
      </c>
      <c r="B244" s="44" t="s">
        <v>161</v>
      </c>
      <c r="C244" s="44" t="s">
        <v>7</v>
      </c>
      <c r="D244" s="44">
        <v>231</v>
      </c>
      <c r="E244" s="44">
        <v>14</v>
      </c>
    </row>
    <row r="245" spans="1:5" x14ac:dyDescent="0.2">
      <c r="A245" s="44" t="s">
        <v>167</v>
      </c>
      <c r="B245" s="44" t="s">
        <v>161</v>
      </c>
      <c r="C245" s="44" t="s">
        <v>7</v>
      </c>
      <c r="D245" s="44">
        <v>80</v>
      </c>
      <c r="E245" s="44">
        <v>14</v>
      </c>
    </row>
    <row r="246" spans="1:5" x14ac:dyDescent="0.2">
      <c r="A246" s="44" t="s">
        <v>166</v>
      </c>
      <c r="B246" s="44" t="s">
        <v>165</v>
      </c>
      <c r="C246" s="44" t="s">
        <v>7</v>
      </c>
      <c r="D246" s="44">
        <v>395</v>
      </c>
      <c r="E246" s="44">
        <v>14</v>
      </c>
    </row>
    <row r="247" spans="1:5" x14ac:dyDescent="0.2">
      <c r="A247" s="44" t="s">
        <v>164</v>
      </c>
      <c r="B247" s="44" t="s">
        <v>161</v>
      </c>
      <c r="C247" s="44" t="s">
        <v>7</v>
      </c>
      <c r="D247" s="44">
        <v>32</v>
      </c>
      <c r="E247" s="44">
        <v>14</v>
      </c>
    </row>
    <row r="248" spans="1:5" x14ac:dyDescent="0.2">
      <c r="A248" s="44" t="s">
        <v>163</v>
      </c>
      <c r="B248" s="44" t="s">
        <v>161</v>
      </c>
      <c r="C248" s="44" t="s">
        <v>7</v>
      </c>
      <c r="D248" s="44">
        <v>38</v>
      </c>
      <c r="E248" s="44">
        <v>14</v>
      </c>
    </row>
    <row r="249" spans="1:5" x14ac:dyDescent="0.2">
      <c r="A249" s="44" t="s">
        <v>162</v>
      </c>
      <c r="B249" s="44" t="s">
        <v>161</v>
      </c>
      <c r="C249" s="44" t="s">
        <v>7</v>
      </c>
      <c r="D249" s="44">
        <v>163</v>
      </c>
      <c r="E249" s="44">
        <v>14</v>
      </c>
    </row>
    <row r="250" spans="1:5" x14ac:dyDescent="0.2">
      <c r="A250" s="44" t="s">
        <v>172</v>
      </c>
      <c r="B250" s="44" t="s">
        <v>161</v>
      </c>
      <c r="C250" s="44" t="s">
        <v>139</v>
      </c>
      <c r="D250" s="44">
        <v>428</v>
      </c>
      <c r="E250" s="44">
        <v>14</v>
      </c>
    </row>
    <row r="251" spans="1:5" x14ac:dyDescent="0.2">
      <c r="A251" s="44" t="s">
        <v>171</v>
      </c>
      <c r="B251" s="44" t="s">
        <v>170</v>
      </c>
      <c r="C251" s="44" t="s">
        <v>139</v>
      </c>
      <c r="D251" s="44">
        <v>363</v>
      </c>
      <c r="E251" s="44">
        <v>14</v>
      </c>
    </row>
    <row r="252" spans="1:5" x14ac:dyDescent="0.2">
      <c r="A252" s="44" t="s">
        <v>169</v>
      </c>
      <c r="B252" s="44" t="s">
        <v>161</v>
      </c>
      <c r="C252" s="44" t="s">
        <v>139</v>
      </c>
      <c r="D252" s="44">
        <v>171</v>
      </c>
      <c r="E252" s="44">
        <v>14</v>
      </c>
    </row>
    <row r="253" spans="1:5" x14ac:dyDescent="0.2">
      <c r="A253" s="44" t="s">
        <v>168</v>
      </c>
      <c r="B253" s="44" t="s">
        <v>161</v>
      </c>
      <c r="C253" s="44" t="s">
        <v>139</v>
      </c>
      <c r="D253" s="44">
        <v>21</v>
      </c>
      <c r="E253" s="44">
        <v>14</v>
      </c>
    </row>
    <row r="254" spans="1:5" x14ac:dyDescent="0.2">
      <c r="A254" s="44" t="s">
        <v>167</v>
      </c>
      <c r="B254" s="44" t="s">
        <v>161</v>
      </c>
      <c r="C254" s="44" t="s">
        <v>139</v>
      </c>
      <c r="D254" s="44">
        <v>21</v>
      </c>
      <c r="E254" s="44">
        <v>14</v>
      </c>
    </row>
    <row r="255" spans="1:5" x14ac:dyDescent="0.2">
      <c r="A255" s="44" t="s">
        <v>166</v>
      </c>
      <c r="B255" s="44" t="s">
        <v>165</v>
      </c>
      <c r="C255" s="44" t="s">
        <v>139</v>
      </c>
      <c r="D255" s="44">
        <v>213</v>
      </c>
      <c r="E255" s="44">
        <v>14</v>
      </c>
    </row>
    <row r="256" spans="1:5" x14ac:dyDescent="0.2">
      <c r="A256" s="44" t="s">
        <v>164</v>
      </c>
      <c r="B256" s="44" t="s">
        <v>161</v>
      </c>
      <c r="C256" s="44" t="s">
        <v>139</v>
      </c>
      <c r="D256" s="44">
        <v>11</v>
      </c>
      <c r="E256" s="44">
        <v>14</v>
      </c>
    </row>
    <row r="257" spans="1:5" x14ac:dyDescent="0.2">
      <c r="A257" s="44" t="s">
        <v>163</v>
      </c>
      <c r="B257" s="44" t="s">
        <v>161</v>
      </c>
      <c r="C257" s="44" t="s">
        <v>139</v>
      </c>
      <c r="D257" s="44">
        <v>0</v>
      </c>
      <c r="E257" s="44">
        <v>14</v>
      </c>
    </row>
    <row r="258" spans="1:5" x14ac:dyDescent="0.2">
      <c r="A258" s="44" t="s">
        <v>162</v>
      </c>
      <c r="B258" s="44" t="s">
        <v>161</v>
      </c>
      <c r="C258" s="44" t="s">
        <v>139</v>
      </c>
      <c r="D258" s="44">
        <v>21</v>
      </c>
      <c r="E258" s="44">
        <v>14</v>
      </c>
    </row>
    <row r="259" spans="1:5" x14ac:dyDescent="0.2">
      <c r="A259" s="44" t="s">
        <v>158</v>
      </c>
      <c r="B259" s="44" t="s">
        <v>157</v>
      </c>
      <c r="C259" s="44" t="s">
        <v>142</v>
      </c>
      <c r="D259" s="44">
        <v>-12</v>
      </c>
      <c r="E259" s="44">
        <v>15</v>
      </c>
    </row>
    <row r="260" spans="1:5" x14ac:dyDescent="0.2">
      <c r="A260" s="44" t="s">
        <v>156</v>
      </c>
      <c r="B260" s="44" t="s">
        <v>155</v>
      </c>
      <c r="C260" s="44" t="s">
        <v>142</v>
      </c>
      <c r="D260" s="44">
        <v>1028</v>
      </c>
      <c r="E260" s="44">
        <v>15</v>
      </c>
    </row>
    <row r="261" spans="1:5" x14ac:dyDescent="0.2">
      <c r="A261" s="44" t="s">
        <v>158</v>
      </c>
      <c r="B261" s="44" t="s">
        <v>157</v>
      </c>
      <c r="C261" s="44" t="s">
        <v>1</v>
      </c>
      <c r="D261" s="44">
        <v>539</v>
      </c>
      <c r="E261" s="44">
        <v>15</v>
      </c>
    </row>
    <row r="262" spans="1:5" x14ac:dyDescent="0.2">
      <c r="A262" s="44" t="s">
        <v>156</v>
      </c>
      <c r="B262" s="44" t="s">
        <v>155</v>
      </c>
      <c r="C262" s="44" t="s">
        <v>1</v>
      </c>
      <c r="D262" s="44">
        <v>216</v>
      </c>
      <c r="E262" s="44">
        <v>15</v>
      </c>
    </row>
    <row r="263" spans="1:5" x14ac:dyDescent="0.2">
      <c r="A263" s="44" t="s">
        <v>160</v>
      </c>
      <c r="B263" s="44" t="s">
        <v>159</v>
      </c>
      <c r="C263" s="44" t="s">
        <v>145</v>
      </c>
      <c r="D263" s="44">
        <v>-571</v>
      </c>
      <c r="E263" s="44">
        <v>15</v>
      </c>
    </row>
    <row r="264" spans="1:5" x14ac:dyDescent="0.2">
      <c r="A264" s="44" t="s">
        <v>156</v>
      </c>
      <c r="B264" s="44" t="s">
        <v>155</v>
      </c>
      <c r="C264" s="44" t="s">
        <v>145</v>
      </c>
      <c r="D264" s="44">
        <v>-1494</v>
      </c>
      <c r="E264" s="44">
        <v>15</v>
      </c>
    </row>
    <row r="265" spans="1:5" x14ac:dyDescent="0.2">
      <c r="A265" s="44" t="s">
        <v>160</v>
      </c>
      <c r="B265" s="44" t="s">
        <v>159</v>
      </c>
      <c r="C265" s="44" t="s">
        <v>10</v>
      </c>
      <c r="D265" s="44">
        <v>-1925</v>
      </c>
      <c r="E265" s="44">
        <v>15</v>
      </c>
    </row>
    <row r="266" spans="1:5" x14ac:dyDescent="0.2">
      <c r="A266" s="44" t="s">
        <v>158</v>
      </c>
      <c r="B266" s="44" t="s">
        <v>157</v>
      </c>
      <c r="C266" s="44" t="s">
        <v>10</v>
      </c>
      <c r="D266" s="44">
        <v>886</v>
      </c>
      <c r="E266" s="44">
        <v>15</v>
      </c>
    </row>
    <row r="267" spans="1:5" x14ac:dyDescent="0.2">
      <c r="A267" s="44" t="s">
        <v>156</v>
      </c>
      <c r="B267" s="44" t="s">
        <v>155</v>
      </c>
      <c r="C267" s="44" t="s">
        <v>10</v>
      </c>
      <c r="D267" s="44">
        <v>1208</v>
      </c>
      <c r="E267" s="44">
        <v>15</v>
      </c>
    </row>
    <row r="268" spans="1:5" x14ac:dyDescent="0.2">
      <c r="A268" s="44" t="s">
        <v>160</v>
      </c>
      <c r="B268" s="44" t="s">
        <v>159</v>
      </c>
      <c r="C268" s="44" t="s">
        <v>11</v>
      </c>
      <c r="D268" s="44">
        <v>-158</v>
      </c>
      <c r="E268" s="44">
        <v>15</v>
      </c>
    </row>
    <row r="269" spans="1:5" x14ac:dyDescent="0.2">
      <c r="A269" s="44" t="s">
        <v>158</v>
      </c>
      <c r="B269" s="44" t="s">
        <v>157</v>
      </c>
      <c r="C269" s="44" t="s">
        <v>11</v>
      </c>
      <c r="D269" s="44">
        <v>180</v>
      </c>
      <c r="E269" s="44">
        <v>15</v>
      </c>
    </row>
    <row r="270" spans="1:5" x14ac:dyDescent="0.2">
      <c r="A270" s="44" t="s">
        <v>156</v>
      </c>
      <c r="B270" s="44" t="s">
        <v>155</v>
      </c>
      <c r="C270" s="44" t="s">
        <v>11</v>
      </c>
      <c r="D270" s="44">
        <v>179</v>
      </c>
      <c r="E270" s="44">
        <v>15</v>
      </c>
    </row>
    <row r="271" spans="1:5" x14ac:dyDescent="0.2">
      <c r="A271" s="44" t="s">
        <v>160</v>
      </c>
      <c r="B271" s="44" t="s">
        <v>159</v>
      </c>
      <c r="C271" s="44" t="s">
        <v>2</v>
      </c>
      <c r="D271" s="44">
        <v>-450</v>
      </c>
      <c r="E271" s="44">
        <v>15</v>
      </c>
    </row>
    <row r="272" spans="1:5" x14ac:dyDescent="0.2">
      <c r="A272" s="44" t="s">
        <v>158</v>
      </c>
      <c r="B272" s="44" t="s">
        <v>157</v>
      </c>
      <c r="C272" s="44" t="s">
        <v>2</v>
      </c>
      <c r="D272" s="44">
        <v>2189</v>
      </c>
      <c r="E272" s="44">
        <v>15</v>
      </c>
    </row>
    <row r="273" spans="1:5" x14ac:dyDescent="0.2">
      <c r="A273" s="44" t="s">
        <v>156</v>
      </c>
      <c r="B273" s="44" t="s">
        <v>155</v>
      </c>
      <c r="C273" s="44" t="s">
        <v>2</v>
      </c>
      <c r="D273" s="44">
        <v>-1020</v>
      </c>
      <c r="E273" s="44">
        <v>15</v>
      </c>
    </row>
    <row r="274" spans="1:5" x14ac:dyDescent="0.2">
      <c r="A274" s="44" t="s">
        <v>160</v>
      </c>
      <c r="B274" s="44" t="s">
        <v>159</v>
      </c>
      <c r="C274" s="44" t="s">
        <v>7</v>
      </c>
      <c r="D274" s="44">
        <v>3596</v>
      </c>
      <c r="E274" s="44">
        <v>15</v>
      </c>
    </row>
    <row r="275" spans="1:5" x14ac:dyDescent="0.2">
      <c r="A275" s="44" t="s">
        <v>158</v>
      </c>
      <c r="B275" s="44" t="s">
        <v>157</v>
      </c>
      <c r="C275" s="44" t="s">
        <v>7</v>
      </c>
      <c r="D275" s="44">
        <v>150</v>
      </c>
      <c r="E275" s="44">
        <v>15</v>
      </c>
    </row>
    <row r="276" spans="1:5" x14ac:dyDescent="0.2">
      <c r="A276" s="44" t="s">
        <v>156</v>
      </c>
      <c r="B276" s="44" t="s">
        <v>155</v>
      </c>
      <c r="C276" s="44" t="s">
        <v>7</v>
      </c>
      <c r="D276" s="44">
        <v>-67</v>
      </c>
      <c r="E276" s="44">
        <v>15</v>
      </c>
    </row>
    <row r="277" spans="1:5" x14ac:dyDescent="0.2">
      <c r="A277" s="44" t="s">
        <v>160</v>
      </c>
      <c r="B277" s="44" t="s">
        <v>159</v>
      </c>
      <c r="C277" s="44" t="s">
        <v>139</v>
      </c>
      <c r="D277" s="44">
        <v>-3774</v>
      </c>
      <c r="E277" s="44">
        <v>15</v>
      </c>
    </row>
    <row r="278" spans="1:5" x14ac:dyDescent="0.2">
      <c r="A278" s="44" t="s">
        <v>158</v>
      </c>
      <c r="B278" s="44" t="s">
        <v>157</v>
      </c>
      <c r="C278" s="44" t="s">
        <v>139</v>
      </c>
      <c r="D278" s="44">
        <v>-394</v>
      </c>
      <c r="E278" s="44">
        <v>15</v>
      </c>
    </row>
    <row r="279" spans="1:5" x14ac:dyDescent="0.2">
      <c r="A279" s="44" t="s">
        <v>156</v>
      </c>
      <c r="B279" s="44" t="s">
        <v>155</v>
      </c>
      <c r="C279" s="44" t="s">
        <v>139</v>
      </c>
      <c r="D279" s="44">
        <v>0</v>
      </c>
      <c r="E279" s="44">
        <v>15</v>
      </c>
    </row>
    <row r="280" spans="1:5" x14ac:dyDescent="0.2">
      <c r="A280" s="44" t="s">
        <v>153</v>
      </c>
      <c r="B280" s="44" t="s">
        <v>149</v>
      </c>
      <c r="C280" s="44" t="s">
        <v>142</v>
      </c>
      <c r="D280" s="44">
        <v>2014</v>
      </c>
      <c r="E280" s="44">
        <v>16</v>
      </c>
    </row>
    <row r="281" spans="1:5" x14ac:dyDescent="0.2">
      <c r="A281" s="44" t="s">
        <v>152</v>
      </c>
      <c r="B281" s="44" t="s">
        <v>148</v>
      </c>
      <c r="C281" s="44" t="s">
        <v>142</v>
      </c>
      <c r="D281" s="44">
        <v>3420</v>
      </c>
      <c r="E281" s="44">
        <v>16</v>
      </c>
    </row>
    <row r="282" spans="1:5" x14ac:dyDescent="0.2">
      <c r="A282" s="44" t="s">
        <v>153</v>
      </c>
      <c r="B282" s="44" t="s">
        <v>149</v>
      </c>
      <c r="C282" s="44" t="s">
        <v>1</v>
      </c>
      <c r="D282" s="44">
        <v>708</v>
      </c>
      <c r="E282" s="44">
        <v>16</v>
      </c>
    </row>
    <row r="283" spans="1:5" x14ac:dyDescent="0.2">
      <c r="A283" s="44" t="s">
        <v>152</v>
      </c>
      <c r="B283" s="44" t="s">
        <v>148</v>
      </c>
      <c r="C283" s="44" t="s">
        <v>1</v>
      </c>
      <c r="D283" s="44">
        <v>3429</v>
      </c>
      <c r="E283" s="44">
        <v>16</v>
      </c>
    </row>
    <row r="284" spans="1:5" x14ac:dyDescent="0.2">
      <c r="A284" s="44" t="s">
        <v>154</v>
      </c>
      <c r="B284" s="44" t="s">
        <v>150</v>
      </c>
      <c r="C284" s="44" t="s">
        <v>145</v>
      </c>
      <c r="D284" s="44">
        <v>3220</v>
      </c>
      <c r="E284" s="44">
        <v>16</v>
      </c>
    </row>
    <row r="285" spans="1:5" x14ac:dyDescent="0.2">
      <c r="A285" s="44" t="s">
        <v>152</v>
      </c>
      <c r="B285" s="44" t="s">
        <v>148</v>
      </c>
      <c r="C285" s="44" t="s">
        <v>145</v>
      </c>
      <c r="D285" s="44">
        <v>1494</v>
      </c>
      <c r="E285" s="44">
        <v>16</v>
      </c>
    </row>
    <row r="286" spans="1:5" x14ac:dyDescent="0.2">
      <c r="A286" s="44" t="s">
        <v>154</v>
      </c>
      <c r="B286" s="44" t="s">
        <v>150</v>
      </c>
      <c r="C286" s="44" t="s">
        <v>10</v>
      </c>
      <c r="D286" s="44">
        <v>4654</v>
      </c>
      <c r="E286" s="44">
        <v>16</v>
      </c>
    </row>
    <row r="287" spans="1:5" x14ac:dyDescent="0.2">
      <c r="A287" s="44" t="s">
        <v>153</v>
      </c>
      <c r="B287" s="44" t="s">
        <v>149</v>
      </c>
      <c r="C287" s="44" t="s">
        <v>10</v>
      </c>
      <c r="D287" s="44">
        <v>1497</v>
      </c>
      <c r="E287" s="44">
        <v>16</v>
      </c>
    </row>
    <row r="288" spans="1:5" x14ac:dyDescent="0.2">
      <c r="A288" s="44" t="s">
        <v>152</v>
      </c>
      <c r="B288" s="44" t="s">
        <v>148</v>
      </c>
      <c r="C288" s="44" t="s">
        <v>10</v>
      </c>
      <c r="D288" s="44">
        <v>1660</v>
      </c>
      <c r="E288" s="44">
        <v>16</v>
      </c>
    </row>
    <row r="289" spans="1:5" x14ac:dyDescent="0.2">
      <c r="A289" s="44" t="s">
        <v>154</v>
      </c>
      <c r="B289" s="44" t="s">
        <v>150</v>
      </c>
      <c r="C289" s="44" t="s">
        <v>11</v>
      </c>
      <c r="D289" s="44">
        <v>689</v>
      </c>
      <c r="E289" s="44">
        <v>16</v>
      </c>
    </row>
    <row r="290" spans="1:5" x14ac:dyDescent="0.2">
      <c r="A290" s="44" t="s">
        <v>153</v>
      </c>
      <c r="B290" s="44" t="s">
        <v>149</v>
      </c>
      <c r="C290" s="44" t="s">
        <v>11</v>
      </c>
      <c r="D290" s="44">
        <v>953</v>
      </c>
      <c r="E290" s="44">
        <v>16</v>
      </c>
    </row>
    <row r="291" spans="1:5" x14ac:dyDescent="0.2">
      <c r="A291" s="44" t="s">
        <v>152</v>
      </c>
      <c r="B291" s="44" t="s">
        <v>148</v>
      </c>
      <c r="C291" s="44" t="s">
        <v>11</v>
      </c>
      <c r="D291" s="44">
        <v>508</v>
      </c>
      <c r="E291" s="44">
        <v>16</v>
      </c>
    </row>
    <row r="292" spans="1:5" x14ac:dyDescent="0.2">
      <c r="A292" s="44" t="s">
        <v>154</v>
      </c>
      <c r="B292" s="44" t="s">
        <v>150</v>
      </c>
      <c r="C292" s="44" t="s">
        <v>2</v>
      </c>
      <c r="D292" s="44">
        <v>454</v>
      </c>
      <c r="E292" s="44">
        <v>16</v>
      </c>
    </row>
    <row r="293" spans="1:5" x14ac:dyDescent="0.2">
      <c r="A293" s="44" t="s">
        <v>153</v>
      </c>
      <c r="B293" s="44" t="s">
        <v>149</v>
      </c>
      <c r="C293" s="44" t="s">
        <v>2</v>
      </c>
      <c r="D293" s="44">
        <v>617</v>
      </c>
      <c r="E293" s="44">
        <v>16</v>
      </c>
    </row>
    <row r="294" spans="1:5" x14ac:dyDescent="0.2">
      <c r="A294" s="44" t="s">
        <v>152</v>
      </c>
      <c r="B294" s="44" t="s">
        <v>148</v>
      </c>
      <c r="C294" s="44" t="s">
        <v>2</v>
      </c>
      <c r="D294" s="44">
        <v>3556</v>
      </c>
      <c r="E294" s="44">
        <v>16</v>
      </c>
    </row>
    <row r="295" spans="1:5" x14ac:dyDescent="0.2">
      <c r="A295" s="44" t="s">
        <v>154</v>
      </c>
      <c r="B295" s="44" t="s">
        <v>150</v>
      </c>
      <c r="C295" s="44" t="s">
        <v>7</v>
      </c>
      <c r="D295" s="44">
        <v>312</v>
      </c>
      <c r="E295" s="44">
        <v>16</v>
      </c>
    </row>
    <row r="296" spans="1:5" x14ac:dyDescent="0.2">
      <c r="A296" s="44" t="s">
        <v>153</v>
      </c>
      <c r="B296" s="44" t="s">
        <v>149</v>
      </c>
      <c r="C296" s="44" t="s">
        <v>7</v>
      </c>
      <c r="D296" s="44">
        <v>245</v>
      </c>
      <c r="E296" s="44">
        <v>16</v>
      </c>
    </row>
    <row r="297" spans="1:5" x14ac:dyDescent="0.2">
      <c r="A297" s="44" t="s">
        <v>152</v>
      </c>
      <c r="B297" s="44" t="s">
        <v>148</v>
      </c>
      <c r="C297" s="44" t="s">
        <v>7</v>
      </c>
      <c r="D297" s="44">
        <v>396</v>
      </c>
      <c r="E297" s="44">
        <v>16</v>
      </c>
    </row>
    <row r="298" spans="1:5" x14ac:dyDescent="0.2">
      <c r="A298" s="44" t="s">
        <v>154</v>
      </c>
      <c r="B298" s="44" t="s">
        <v>150</v>
      </c>
      <c r="C298" s="44" t="s">
        <v>139</v>
      </c>
      <c r="D298" s="44">
        <v>4447</v>
      </c>
      <c r="E298" s="44">
        <v>16</v>
      </c>
    </row>
    <row r="299" spans="1:5" x14ac:dyDescent="0.2">
      <c r="A299" s="44" t="s">
        <v>153</v>
      </c>
      <c r="B299" s="44" t="s">
        <v>149</v>
      </c>
      <c r="C299" s="44" t="s">
        <v>139</v>
      </c>
      <c r="D299" s="44">
        <v>608</v>
      </c>
      <c r="E299" s="44">
        <v>16</v>
      </c>
    </row>
    <row r="300" spans="1:5" x14ac:dyDescent="0.2">
      <c r="A300" s="44" t="s">
        <v>152</v>
      </c>
      <c r="B300" s="44" t="s">
        <v>148</v>
      </c>
      <c r="C300" s="44" t="s">
        <v>139</v>
      </c>
      <c r="D300" s="44">
        <v>363</v>
      </c>
      <c r="E300" s="44">
        <v>16</v>
      </c>
    </row>
    <row r="301" spans="1:5" x14ac:dyDescent="0.2">
      <c r="A301" s="44" t="s">
        <v>149</v>
      </c>
      <c r="B301" s="44" t="s">
        <v>151</v>
      </c>
      <c r="C301" s="44" t="s">
        <v>142</v>
      </c>
      <c r="D301" s="44">
        <v>394</v>
      </c>
      <c r="E301" s="44">
        <v>17</v>
      </c>
    </row>
    <row r="302" spans="1:5" x14ac:dyDescent="0.2">
      <c r="A302" s="44" t="s">
        <v>148</v>
      </c>
      <c r="B302" s="44" t="s">
        <v>151</v>
      </c>
      <c r="C302" s="44" t="s">
        <v>142</v>
      </c>
      <c r="D302" s="44">
        <v>584</v>
      </c>
      <c r="E302" s="44">
        <v>17</v>
      </c>
    </row>
    <row r="303" spans="1:5" x14ac:dyDescent="0.2">
      <c r="A303" s="44" t="s">
        <v>149</v>
      </c>
      <c r="B303" s="44" t="s">
        <v>151</v>
      </c>
      <c r="C303" s="44" t="s">
        <v>1</v>
      </c>
      <c r="D303" s="44">
        <v>138</v>
      </c>
      <c r="E303" s="44">
        <v>17</v>
      </c>
    </row>
    <row r="304" spans="1:5" x14ac:dyDescent="0.2">
      <c r="A304" s="44" t="s">
        <v>148</v>
      </c>
      <c r="B304" s="44" t="s">
        <v>151</v>
      </c>
      <c r="C304" s="44" t="s">
        <v>1</v>
      </c>
      <c r="D304" s="44">
        <v>563</v>
      </c>
      <c r="E304" s="44">
        <v>17</v>
      </c>
    </row>
    <row r="305" spans="1:5" x14ac:dyDescent="0.2">
      <c r="A305" s="44" t="s">
        <v>150</v>
      </c>
      <c r="B305" s="44" t="s">
        <v>151</v>
      </c>
      <c r="C305" s="44" t="s">
        <v>145</v>
      </c>
      <c r="D305" s="44">
        <v>396</v>
      </c>
      <c r="E305" s="44">
        <v>17</v>
      </c>
    </row>
    <row r="306" spans="1:5" x14ac:dyDescent="0.2">
      <c r="A306" s="44" t="s">
        <v>148</v>
      </c>
      <c r="B306" s="44" t="s">
        <v>151</v>
      </c>
      <c r="C306" s="44" t="s">
        <v>145</v>
      </c>
      <c r="D306" s="44">
        <v>160</v>
      </c>
      <c r="E306" s="44">
        <v>17</v>
      </c>
    </row>
    <row r="307" spans="1:5" x14ac:dyDescent="0.2">
      <c r="A307" s="44" t="s">
        <v>150</v>
      </c>
      <c r="B307" s="44" t="s">
        <v>151</v>
      </c>
      <c r="C307" s="44" t="s">
        <v>10</v>
      </c>
      <c r="D307" s="44">
        <v>492</v>
      </c>
      <c r="E307" s="44">
        <v>17</v>
      </c>
    </row>
    <row r="308" spans="1:5" x14ac:dyDescent="0.2">
      <c r="A308" s="44" t="s">
        <v>149</v>
      </c>
      <c r="B308" s="44" t="s">
        <v>151</v>
      </c>
      <c r="C308" s="44" t="s">
        <v>10</v>
      </c>
      <c r="D308" s="44">
        <v>293</v>
      </c>
      <c r="E308" s="44">
        <v>17</v>
      </c>
    </row>
    <row r="309" spans="1:5" x14ac:dyDescent="0.2">
      <c r="A309" s="44" t="s">
        <v>148</v>
      </c>
      <c r="B309" s="44" t="s">
        <v>151</v>
      </c>
      <c r="C309" s="44" t="s">
        <v>10</v>
      </c>
      <c r="D309" s="44">
        <v>313</v>
      </c>
      <c r="E309" s="44">
        <v>17</v>
      </c>
    </row>
    <row r="310" spans="1:5" x14ac:dyDescent="0.2">
      <c r="A310" s="44" t="s">
        <v>150</v>
      </c>
      <c r="B310" s="44" t="s">
        <v>151</v>
      </c>
      <c r="C310" s="44" t="s">
        <v>11</v>
      </c>
      <c r="D310" s="44">
        <v>88</v>
      </c>
      <c r="E310" s="44">
        <v>17</v>
      </c>
    </row>
    <row r="311" spans="1:5" x14ac:dyDescent="0.2">
      <c r="A311" s="44" t="s">
        <v>149</v>
      </c>
      <c r="B311" s="44" t="s">
        <v>151</v>
      </c>
      <c r="C311" s="44" t="s">
        <v>11</v>
      </c>
      <c r="D311" s="44">
        <v>186</v>
      </c>
      <c r="E311" s="44">
        <v>17</v>
      </c>
    </row>
    <row r="312" spans="1:5" x14ac:dyDescent="0.2">
      <c r="A312" s="44" t="s">
        <v>148</v>
      </c>
      <c r="B312" s="44" t="s">
        <v>151</v>
      </c>
      <c r="C312" s="44" t="s">
        <v>11</v>
      </c>
      <c r="D312" s="44">
        <v>94</v>
      </c>
      <c r="E312" s="44">
        <v>17</v>
      </c>
    </row>
    <row r="313" spans="1:5" x14ac:dyDescent="0.2">
      <c r="A313" s="44" t="s">
        <v>150</v>
      </c>
      <c r="B313" s="44" t="s">
        <v>151</v>
      </c>
      <c r="C313" s="44" t="s">
        <v>2</v>
      </c>
      <c r="D313" s="44">
        <v>58</v>
      </c>
      <c r="E313" s="44">
        <v>17</v>
      </c>
    </row>
    <row r="314" spans="1:5" x14ac:dyDescent="0.2">
      <c r="A314" s="44" t="s">
        <v>149</v>
      </c>
      <c r="B314" s="44" t="s">
        <v>151</v>
      </c>
      <c r="C314" s="44" t="s">
        <v>2</v>
      </c>
      <c r="D314" s="44">
        <v>121</v>
      </c>
      <c r="E314" s="44">
        <v>17</v>
      </c>
    </row>
    <row r="315" spans="1:5" x14ac:dyDescent="0.2">
      <c r="A315" s="44" t="s">
        <v>148</v>
      </c>
      <c r="B315" s="44" t="s">
        <v>151</v>
      </c>
      <c r="C315" s="44" t="s">
        <v>2</v>
      </c>
      <c r="D315" s="44">
        <v>531</v>
      </c>
      <c r="E315" s="44">
        <v>17</v>
      </c>
    </row>
    <row r="316" spans="1:5" x14ac:dyDescent="0.2">
      <c r="A316" s="44" t="s">
        <v>150</v>
      </c>
      <c r="B316" s="44" t="s">
        <v>151</v>
      </c>
      <c r="C316" s="44" t="s">
        <v>7</v>
      </c>
      <c r="D316" s="44">
        <v>23</v>
      </c>
      <c r="E316" s="44">
        <v>17</v>
      </c>
    </row>
    <row r="317" spans="1:5" x14ac:dyDescent="0.2">
      <c r="A317" s="44" t="s">
        <v>149</v>
      </c>
      <c r="B317" s="44" t="s">
        <v>151</v>
      </c>
      <c r="C317" s="44" t="s">
        <v>7</v>
      </c>
      <c r="D317" s="44">
        <v>48</v>
      </c>
      <c r="E317" s="44">
        <v>17</v>
      </c>
    </row>
    <row r="318" spans="1:5" x14ac:dyDescent="0.2">
      <c r="A318" s="44" t="s">
        <v>148</v>
      </c>
      <c r="B318" s="44" t="s">
        <v>151</v>
      </c>
      <c r="C318" s="44" t="s">
        <v>7</v>
      </c>
      <c r="D318" s="44">
        <v>76</v>
      </c>
      <c r="E318" s="44">
        <v>17</v>
      </c>
    </row>
    <row r="319" spans="1:5" x14ac:dyDescent="0.2">
      <c r="A319" s="44" t="s">
        <v>150</v>
      </c>
      <c r="B319" s="44" t="s">
        <v>151</v>
      </c>
      <c r="C319" s="44" t="s">
        <v>139</v>
      </c>
      <c r="D319" s="44">
        <v>294</v>
      </c>
      <c r="E319" s="44">
        <v>17</v>
      </c>
    </row>
    <row r="320" spans="1:5" x14ac:dyDescent="0.2">
      <c r="A320" s="44" t="s">
        <v>149</v>
      </c>
      <c r="B320" s="44" t="s">
        <v>151</v>
      </c>
      <c r="C320" s="44" t="s">
        <v>139</v>
      </c>
      <c r="D320" s="44">
        <v>90</v>
      </c>
      <c r="E320" s="44">
        <v>17</v>
      </c>
    </row>
    <row r="321" spans="1:5" x14ac:dyDescent="0.2">
      <c r="A321" s="44" t="s">
        <v>148</v>
      </c>
      <c r="B321" s="44" t="s">
        <v>151</v>
      </c>
      <c r="C321" s="44" t="s">
        <v>139</v>
      </c>
      <c r="D321" s="44">
        <v>71</v>
      </c>
      <c r="E321" s="44">
        <v>17</v>
      </c>
    </row>
    <row r="322" spans="1:5" x14ac:dyDescent="0.2">
      <c r="A322" s="44" t="s">
        <v>149</v>
      </c>
      <c r="B322" s="44" t="s">
        <v>6</v>
      </c>
      <c r="C322" s="44" t="s">
        <v>142</v>
      </c>
      <c r="D322" s="44">
        <v>1620</v>
      </c>
      <c r="E322" s="44">
        <v>18</v>
      </c>
    </row>
    <row r="323" spans="1:5" x14ac:dyDescent="0.2">
      <c r="A323" s="44" t="s">
        <v>148</v>
      </c>
      <c r="B323" s="44" t="s">
        <v>6</v>
      </c>
      <c r="C323" s="44" t="s">
        <v>142</v>
      </c>
      <c r="D323" s="44">
        <v>2391</v>
      </c>
      <c r="E323" s="44">
        <v>18</v>
      </c>
    </row>
    <row r="324" spans="1:5" x14ac:dyDescent="0.2">
      <c r="A324" s="44" t="s">
        <v>149</v>
      </c>
      <c r="B324" s="44" t="s">
        <v>6</v>
      </c>
      <c r="C324" s="44" t="s">
        <v>1</v>
      </c>
      <c r="D324" s="44">
        <v>569</v>
      </c>
      <c r="E324" s="44">
        <v>18</v>
      </c>
    </row>
    <row r="325" spans="1:5" x14ac:dyDescent="0.2">
      <c r="A325" s="44" t="s">
        <v>148</v>
      </c>
      <c r="B325" s="44" t="s">
        <v>6</v>
      </c>
      <c r="C325" s="44" t="s">
        <v>1</v>
      </c>
      <c r="D325" s="44">
        <v>2304</v>
      </c>
      <c r="E325" s="44">
        <v>18</v>
      </c>
    </row>
    <row r="326" spans="1:5" x14ac:dyDescent="0.2">
      <c r="A326" s="44" t="s">
        <v>150</v>
      </c>
      <c r="B326" s="44" t="s">
        <v>6</v>
      </c>
      <c r="C326" s="44" t="s">
        <v>145</v>
      </c>
      <c r="D326" s="44">
        <v>2823</v>
      </c>
      <c r="E326" s="44">
        <v>18</v>
      </c>
    </row>
    <row r="327" spans="1:5" x14ac:dyDescent="0.2">
      <c r="A327" s="44" t="s">
        <v>148</v>
      </c>
      <c r="B327" s="44" t="s">
        <v>6</v>
      </c>
      <c r="C327" s="44" t="s">
        <v>145</v>
      </c>
      <c r="D327" s="44">
        <v>1021</v>
      </c>
      <c r="E327" s="44">
        <v>18</v>
      </c>
    </row>
    <row r="328" spans="1:5" x14ac:dyDescent="0.2">
      <c r="A328" s="44" t="s">
        <v>150</v>
      </c>
      <c r="B328" s="44" t="s">
        <v>6</v>
      </c>
      <c r="C328" s="44" t="s">
        <v>10</v>
      </c>
      <c r="D328" s="44">
        <v>4161</v>
      </c>
      <c r="E328" s="44">
        <v>18</v>
      </c>
    </row>
    <row r="329" spans="1:5" x14ac:dyDescent="0.2">
      <c r="A329" s="44" t="s">
        <v>149</v>
      </c>
      <c r="B329" s="44" t="s">
        <v>6</v>
      </c>
      <c r="C329" s="44" t="s">
        <v>10</v>
      </c>
      <c r="D329" s="44">
        <v>1204</v>
      </c>
      <c r="E329" s="44">
        <v>18</v>
      </c>
    </row>
    <row r="330" spans="1:5" x14ac:dyDescent="0.2">
      <c r="A330" s="44" t="s">
        <v>148</v>
      </c>
      <c r="B330" s="44" t="s">
        <v>6</v>
      </c>
      <c r="C330" s="44" t="s">
        <v>10</v>
      </c>
      <c r="D330" s="44">
        <v>1283</v>
      </c>
      <c r="E330" s="44">
        <v>18</v>
      </c>
    </row>
    <row r="331" spans="1:5" x14ac:dyDescent="0.2">
      <c r="A331" s="44" t="s">
        <v>150</v>
      </c>
      <c r="B331" s="44" t="s">
        <v>6</v>
      </c>
      <c r="C331" s="44" t="s">
        <v>11</v>
      </c>
      <c r="D331" s="44">
        <v>601</v>
      </c>
      <c r="E331" s="44">
        <v>18</v>
      </c>
    </row>
    <row r="332" spans="1:5" x14ac:dyDescent="0.2">
      <c r="A332" s="44" t="s">
        <v>149</v>
      </c>
      <c r="B332" s="44" t="s">
        <v>6</v>
      </c>
      <c r="C332" s="44" t="s">
        <v>11</v>
      </c>
      <c r="D332" s="44">
        <v>766</v>
      </c>
      <c r="E332" s="44">
        <v>18</v>
      </c>
    </row>
    <row r="333" spans="1:5" x14ac:dyDescent="0.2">
      <c r="A333" s="44" t="s">
        <v>148</v>
      </c>
      <c r="B333" s="44" t="s">
        <v>6</v>
      </c>
      <c r="C333" s="44" t="s">
        <v>11</v>
      </c>
      <c r="D333" s="44">
        <v>386</v>
      </c>
      <c r="E333" s="44">
        <v>18</v>
      </c>
    </row>
    <row r="334" spans="1:5" x14ac:dyDescent="0.2">
      <c r="A334" s="44" t="s">
        <v>150</v>
      </c>
      <c r="B334" s="44" t="s">
        <v>6</v>
      </c>
      <c r="C334" s="44" t="s">
        <v>2</v>
      </c>
      <c r="D334" s="44">
        <v>396</v>
      </c>
      <c r="E334" s="44">
        <v>18</v>
      </c>
    </row>
    <row r="335" spans="1:5" x14ac:dyDescent="0.2">
      <c r="A335" s="44" t="s">
        <v>149</v>
      </c>
      <c r="B335" s="44" t="s">
        <v>6</v>
      </c>
      <c r="C335" s="44" t="s">
        <v>2</v>
      </c>
      <c r="D335" s="44">
        <v>496</v>
      </c>
      <c r="E335" s="44">
        <v>18</v>
      </c>
    </row>
    <row r="336" spans="1:5" x14ac:dyDescent="0.2">
      <c r="A336" s="44" t="s">
        <v>148</v>
      </c>
      <c r="B336" s="44" t="s">
        <v>6</v>
      </c>
      <c r="C336" s="44" t="s">
        <v>2</v>
      </c>
      <c r="D336" s="44">
        <v>2173</v>
      </c>
      <c r="E336" s="44">
        <v>18</v>
      </c>
    </row>
    <row r="337" spans="1:5" x14ac:dyDescent="0.2">
      <c r="A337" s="44" t="s">
        <v>150</v>
      </c>
      <c r="B337" s="44" t="s">
        <v>6</v>
      </c>
      <c r="C337" s="44" t="s">
        <v>7</v>
      </c>
      <c r="D337" s="44">
        <v>289</v>
      </c>
      <c r="E337" s="44">
        <v>18</v>
      </c>
    </row>
    <row r="338" spans="1:5" x14ac:dyDescent="0.2">
      <c r="A338" s="44" t="s">
        <v>149</v>
      </c>
      <c r="B338" s="44" t="s">
        <v>6</v>
      </c>
      <c r="C338" s="44" t="s">
        <v>7</v>
      </c>
      <c r="D338" s="44">
        <v>197</v>
      </c>
      <c r="E338" s="44">
        <v>18</v>
      </c>
    </row>
    <row r="339" spans="1:5" x14ac:dyDescent="0.2">
      <c r="A339" s="44" t="s">
        <v>148</v>
      </c>
      <c r="B339" s="44" t="s">
        <v>6</v>
      </c>
      <c r="C339" s="44" t="s">
        <v>7</v>
      </c>
      <c r="D339" s="44">
        <v>317</v>
      </c>
      <c r="E339" s="44">
        <v>18</v>
      </c>
    </row>
    <row r="340" spans="1:5" x14ac:dyDescent="0.2">
      <c r="A340" s="44" t="s">
        <v>150</v>
      </c>
      <c r="B340" s="44" t="s">
        <v>6</v>
      </c>
      <c r="C340" s="44" t="s">
        <v>139</v>
      </c>
      <c r="D340" s="44">
        <v>3400</v>
      </c>
      <c r="E340" s="44">
        <v>18</v>
      </c>
    </row>
    <row r="341" spans="1:5" x14ac:dyDescent="0.2">
      <c r="A341" s="44" t="s">
        <v>149</v>
      </c>
      <c r="B341" s="44" t="s">
        <v>6</v>
      </c>
      <c r="C341" s="44" t="s">
        <v>139</v>
      </c>
      <c r="D341" s="44">
        <v>372</v>
      </c>
      <c r="E341" s="44">
        <v>18</v>
      </c>
    </row>
    <row r="342" spans="1:5" x14ac:dyDescent="0.2">
      <c r="A342" s="44" t="s">
        <v>148</v>
      </c>
      <c r="B342" s="44" t="s">
        <v>6</v>
      </c>
      <c r="C342" s="44" t="s">
        <v>139</v>
      </c>
      <c r="D342" s="44">
        <v>292</v>
      </c>
      <c r="E342" s="44">
        <v>18</v>
      </c>
    </row>
    <row r="343" spans="1:5" x14ac:dyDescent="0.2">
      <c r="A343" s="44" t="s">
        <v>149</v>
      </c>
      <c r="B343" s="44" t="s">
        <v>147</v>
      </c>
      <c r="C343" s="44" t="s">
        <v>142</v>
      </c>
      <c r="D343" s="44">
        <v>0</v>
      </c>
      <c r="E343" s="44">
        <v>19</v>
      </c>
    </row>
    <row r="344" spans="1:5" x14ac:dyDescent="0.2">
      <c r="A344" s="44" t="s">
        <v>148</v>
      </c>
      <c r="B344" s="44" t="s">
        <v>147</v>
      </c>
      <c r="C344" s="44" t="s">
        <v>142</v>
      </c>
      <c r="D344" s="44">
        <v>445</v>
      </c>
      <c r="E344" s="44">
        <v>19</v>
      </c>
    </row>
    <row r="345" spans="1:5" x14ac:dyDescent="0.2">
      <c r="A345" s="44" t="s">
        <v>149</v>
      </c>
      <c r="B345" s="44" t="s">
        <v>147</v>
      </c>
      <c r="C345" s="44" t="s">
        <v>1</v>
      </c>
      <c r="D345" s="44">
        <v>0</v>
      </c>
      <c r="E345" s="44">
        <v>19</v>
      </c>
    </row>
    <row r="346" spans="1:5" x14ac:dyDescent="0.2">
      <c r="A346" s="44" t="s">
        <v>148</v>
      </c>
      <c r="B346" s="44" t="s">
        <v>147</v>
      </c>
      <c r="C346" s="44" t="s">
        <v>1</v>
      </c>
      <c r="D346" s="44">
        <v>562</v>
      </c>
      <c r="E346" s="44">
        <v>19</v>
      </c>
    </row>
    <row r="347" spans="1:5" x14ac:dyDescent="0.2">
      <c r="A347" s="44" t="s">
        <v>150</v>
      </c>
      <c r="B347" s="44" t="s">
        <v>147</v>
      </c>
      <c r="C347" s="44" t="s">
        <v>145</v>
      </c>
      <c r="D347" s="44">
        <v>0</v>
      </c>
      <c r="E347" s="44">
        <v>19</v>
      </c>
    </row>
    <row r="348" spans="1:5" x14ac:dyDescent="0.2">
      <c r="A348" s="44" t="s">
        <v>148</v>
      </c>
      <c r="B348" s="44" t="s">
        <v>147</v>
      </c>
      <c r="C348" s="44" t="s">
        <v>145</v>
      </c>
      <c r="D348" s="44">
        <v>312</v>
      </c>
      <c r="E348" s="44">
        <v>19</v>
      </c>
    </row>
    <row r="349" spans="1:5" x14ac:dyDescent="0.2">
      <c r="A349" s="44" t="s">
        <v>150</v>
      </c>
      <c r="B349" s="44" t="s">
        <v>147</v>
      </c>
      <c r="C349" s="44" t="s">
        <v>10</v>
      </c>
      <c r="D349" s="44">
        <v>0</v>
      </c>
      <c r="E349" s="44">
        <v>19</v>
      </c>
    </row>
    <row r="350" spans="1:5" x14ac:dyDescent="0.2">
      <c r="A350" s="44" t="s">
        <v>149</v>
      </c>
      <c r="B350" s="44" t="s">
        <v>147</v>
      </c>
      <c r="C350" s="44" t="s">
        <v>10</v>
      </c>
      <c r="D350" s="44">
        <v>0</v>
      </c>
      <c r="E350" s="44">
        <v>19</v>
      </c>
    </row>
    <row r="351" spans="1:5" x14ac:dyDescent="0.2">
      <c r="A351" s="44" t="s">
        <v>148</v>
      </c>
      <c r="B351" s="44" t="s">
        <v>147</v>
      </c>
      <c r="C351" s="44" t="s">
        <v>10</v>
      </c>
      <c r="D351" s="44">
        <v>64</v>
      </c>
      <c r="E351" s="44">
        <v>19</v>
      </c>
    </row>
    <row r="352" spans="1:5" x14ac:dyDescent="0.2">
      <c r="A352" s="44" t="s">
        <v>150</v>
      </c>
      <c r="B352" s="44" t="s">
        <v>147</v>
      </c>
      <c r="C352" s="44" t="s">
        <v>11</v>
      </c>
      <c r="D352" s="44">
        <v>0</v>
      </c>
      <c r="E352" s="44">
        <v>19</v>
      </c>
    </row>
    <row r="353" spans="1:5" x14ac:dyDescent="0.2">
      <c r="A353" s="44" t="s">
        <v>149</v>
      </c>
      <c r="B353" s="44" t="s">
        <v>147</v>
      </c>
      <c r="C353" s="44" t="s">
        <v>11</v>
      </c>
      <c r="D353" s="44">
        <v>0</v>
      </c>
      <c r="E353" s="44">
        <v>19</v>
      </c>
    </row>
    <row r="354" spans="1:5" x14ac:dyDescent="0.2">
      <c r="A354" s="44" t="s">
        <v>148</v>
      </c>
      <c r="B354" s="44" t="s">
        <v>147</v>
      </c>
      <c r="C354" s="44" t="s">
        <v>11</v>
      </c>
      <c r="D354" s="44">
        <v>27</v>
      </c>
      <c r="E354" s="44">
        <v>19</v>
      </c>
    </row>
    <row r="355" spans="1:5" x14ac:dyDescent="0.2">
      <c r="A355" s="44" t="s">
        <v>150</v>
      </c>
      <c r="B355" s="44" t="s">
        <v>147</v>
      </c>
      <c r="C355" s="44" t="s">
        <v>2</v>
      </c>
      <c r="D355" s="44">
        <v>0</v>
      </c>
      <c r="E355" s="44">
        <v>19</v>
      </c>
    </row>
    <row r="356" spans="1:5" x14ac:dyDescent="0.2">
      <c r="A356" s="44" t="s">
        <v>149</v>
      </c>
      <c r="B356" s="44" t="s">
        <v>147</v>
      </c>
      <c r="C356" s="44" t="s">
        <v>2</v>
      </c>
      <c r="D356" s="44">
        <v>0</v>
      </c>
      <c r="E356" s="44">
        <v>19</v>
      </c>
    </row>
    <row r="357" spans="1:5" x14ac:dyDescent="0.2">
      <c r="A357" s="44" t="s">
        <v>148</v>
      </c>
      <c r="B357" s="44" t="s">
        <v>147</v>
      </c>
      <c r="C357" s="44" t="s">
        <v>2</v>
      </c>
      <c r="D357" s="44">
        <v>853</v>
      </c>
      <c r="E357" s="44">
        <v>19</v>
      </c>
    </row>
    <row r="358" spans="1:5" x14ac:dyDescent="0.2">
      <c r="A358" s="44" t="s">
        <v>150</v>
      </c>
      <c r="B358" s="44" t="s">
        <v>147</v>
      </c>
      <c r="C358" s="44" t="s">
        <v>7</v>
      </c>
      <c r="D358" s="44">
        <v>0</v>
      </c>
      <c r="E358" s="44">
        <v>19</v>
      </c>
    </row>
    <row r="359" spans="1:5" x14ac:dyDescent="0.2">
      <c r="A359" s="44" t="s">
        <v>149</v>
      </c>
      <c r="B359" s="44" t="s">
        <v>147</v>
      </c>
      <c r="C359" s="44" t="s">
        <v>7</v>
      </c>
      <c r="D359" s="44">
        <v>0</v>
      </c>
      <c r="E359" s="44">
        <v>19</v>
      </c>
    </row>
    <row r="360" spans="1:5" x14ac:dyDescent="0.2">
      <c r="A360" s="44" t="s">
        <v>148</v>
      </c>
      <c r="B360" s="44" t="s">
        <v>147</v>
      </c>
      <c r="C360" s="44" t="s">
        <v>7</v>
      </c>
      <c r="D360" s="44">
        <v>3</v>
      </c>
      <c r="E360" s="44">
        <v>19</v>
      </c>
    </row>
    <row r="361" spans="1:5" x14ac:dyDescent="0.2">
      <c r="A361" s="44" t="s">
        <v>150</v>
      </c>
      <c r="B361" s="44" t="s">
        <v>147</v>
      </c>
      <c r="C361" s="44" t="s">
        <v>139</v>
      </c>
      <c r="D361" s="44">
        <v>753</v>
      </c>
      <c r="E361" s="44">
        <v>19</v>
      </c>
    </row>
    <row r="362" spans="1:5" x14ac:dyDescent="0.2">
      <c r="A362" s="44" t="s">
        <v>149</v>
      </c>
      <c r="B362" s="44" t="s">
        <v>147</v>
      </c>
      <c r="C362" s="44" t="s">
        <v>139</v>
      </c>
      <c r="D362" s="44">
        <v>145</v>
      </c>
      <c r="E362" s="44">
        <v>19</v>
      </c>
    </row>
    <row r="363" spans="1:5" x14ac:dyDescent="0.2">
      <c r="A363" s="44" t="s">
        <v>148</v>
      </c>
      <c r="B363" s="44" t="s">
        <v>147</v>
      </c>
      <c r="C363" s="44" t="s">
        <v>139</v>
      </c>
      <c r="D363" s="44">
        <v>0</v>
      </c>
      <c r="E363" s="44">
        <v>19</v>
      </c>
    </row>
    <row r="364" spans="1:5" x14ac:dyDescent="0.2">
      <c r="A364" s="44" t="s">
        <v>147</v>
      </c>
      <c r="B364" s="44" t="s">
        <v>144</v>
      </c>
      <c r="C364" s="44" t="s">
        <v>145</v>
      </c>
      <c r="D364" s="44">
        <v>430</v>
      </c>
      <c r="E364" s="44">
        <v>20</v>
      </c>
    </row>
    <row r="365" spans="1:5" x14ac:dyDescent="0.2">
      <c r="A365" s="44" t="s">
        <v>147</v>
      </c>
      <c r="B365" s="44" t="s">
        <v>144</v>
      </c>
      <c r="C365" s="44" t="s">
        <v>10</v>
      </c>
      <c r="D365" s="44">
        <v>64</v>
      </c>
      <c r="E365" s="44">
        <v>20</v>
      </c>
    </row>
    <row r="366" spans="1:5" x14ac:dyDescent="0.2">
      <c r="A366" s="44" t="s">
        <v>147</v>
      </c>
      <c r="B366" s="44" t="s">
        <v>144</v>
      </c>
      <c r="C366" s="44" t="s">
        <v>11</v>
      </c>
      <c r="D366" s="44">
        <v>4</v>
      </c>
      <c r="E366" s="44">
        <v>20</v>
      </c>
    </row>
    <row r="367" spans="1:5" x14ac:dyDescent="0.2">
      <c r="A367" s="44" t="s">
        <v>147</v>
      </c>
      <c r="B367" s="44" t="s">
        <v>144</v>
      </c>
      <c r="C367" s="44" t="s">
        <v>2</v>
      </c>
      <c r="D367" s="44">
        <v>216</v>
      </c>
      <c r="E367" s="44">
        <v>20</v>
      </c>
    </row>
    <row r="368" spans="1:5" x14ac:dyDescent="0.2">
      <c r="A368" s="44" t="s">
        <v>147</v>
      </c>
      <c r="B368" s="44" t="s">
        <v>144</v>
      </c>
      <c r="C368" s="44" t="s">
        <v>7</v>
      </c>
      <c r="D368" s="44">
        <v>2</v>
      </c>
      <c r="E368" s="44">
        <v>20</v>
      </c>
    </row>
    <row r="369" spans="1:5" x14ac:dyDescent="0.2">
      <c r="A369" s="44" t="s">
        <v>147</v>
      </c>
      <c r="B369" s="44" t="s">
        <v>144</v>
      </c>
      <c r="C369" s="44" t="s">
        <v>139</v>
      </c>
      <c r="D369" s="44">
        <v>17</v>
      </c>
      <c r="E369" s="44">
        <v>20</v>
      </c>
    </row>
    <row r="370" spans="1:5" x14ac:dyDescent="0.2">
      <c r="A370" s="44" t="s">
        <v>147</v>
      </c>
      <c r="B370" s="44" t="s">
        <v>4</v>
      </c>
      <c r="C370" s="44" t="s">
        <v>145</v>
      </c>
      <c r="D370" s="44">
        <v>889</v>
      </c>
      <c r="E370" s="44">
        <v>21</v>
      </c>
    </row>
    <row r="371" spans="1:5" x14ac:dyDescent="0.2">
      <c r="A371" s="44" t="s">
        <v>147</v>
      </c>
      <c r="B371" s="44" t="s">
        <v>4</v>
      </c>
      <c r="C371" s="44" t="s">
        <v>10</v>
      </c>
      <c r="D371" s="44">
        <v>0</v>
      </c>
      <c r="E371" s="44">
        <v>21</v>
      </c>
    </row>
    <row r="372" spans="1:5" x14ac:dyDescent="0.2">
      <c r="A372" s="44" t="s">
        <v>147</v>
      </c>
      <c r="B372" s="44" t="s">
        <v>4</v>
      </c>
      <c r="C372" s="44" t="s">
        <v>11</v>
      </c>
      <c r="D372" s="44">
        <v>24</v>
      </c>
      <c r="E372" s="44">
        <v>21</v>
      </c>
    </row>
    <row r="373" spans="1:5" x14ac:dyDescent="0.2">
      <c r="A373" s="44" t="s">
        <v>147</v>
      </c>
      <c r="B373" s="44" t="s">
        <v>4</v>
      </c>
      <c r="C373" s="44" t="s">
        <v>2</v>
      </c>
      <c r="D373" s="44">
        <v>636</v>
      </c>
      <c r="E373" s="44">
        <v>21</v>
      </c>
    </row>
    <row r="374" spans="1:5" x14ac:dyDescent="0.2">
      <c r="A374" s="44" t="s">
        <v>147</v>
      </c>
      <c r="B374" s="44" t="s">
        <v>4</v>
      </c>
      <c r="C374" s="44" t="s">
        <v>7</v>
      </c>
      <c r="D374" s="44">
        <v>1</v>
      </c>
      <c r="E374" s="44">
        <v>21</v>
      </c>
    </row>
    <row r="375" spans="1:5" x14ac:dyDescent="0.2">
      <c r="A375" s="44" t="s">
        <v>147</v>
      </c>
      <c r="B375" s="44" t="s">
        <v>4</v>
      </c>
      <c r="C375" s="44" t="s">
        <v>139</v>
      </c>
      <c r="D375" s="44">
        <v>881</v>
      </c>
      <c r="E375" s="44">
        <v>21</v>
      </c>
    </row>
    <row r="376" spans="1:5" x14ac:dyDescent="0.2">
      <c r="A376" s="44" t="s">
        <v>4</v>
      </c>
      <c r="B376" s="44" t="s">
        <v>6</v>
      </c>
      <c r="C376" s="44" t="s">
        <v>145</v>
      </c>
      <c r="D376" s="44">
        <v>32</v>
      </c>
      <c r="E376" s="44">
        <v>22</v>
      </c>
    </row>
    <row r="377" spans="1:5" x14ac:dyDescent="0.2">
      <c r="A377" s="44" t="s">
        <v>4</v>
      </c>
      <c r="B377" s="44" t="s">
        <v>6</v>
      </c>
      <c r="C377" s="44" t="s">
        <v>10</v>
      </c>
      <c r="D377" s="44">
        <v>-56</v>
      </c>
      <c r="E377" s="45" t="s">
        <v>146</v>
      </c>
    </row>
    <row r="378" spans="1:5" x14ac:dyDescent="0.2">
      <c r="A378" s="44" t="s">
        <v>4</v>
      </c>
      <c r="B378" s="44" t="s">
        <v>6</v>
      </c>
      <c r="C378" s="44" t="s">
        <v>11</v>
      </c>
      <c r="D378" s="44">
        <v>-15</v>
      </c>
      <c r="E378" s="45" t="s">
        <v>146</v>
      </c>
    </row>
    <row r="379" spans="1:5" x14ac:dyDescent="0.2">
      <c r="A379" s="44" t="s">
        <v>4</v>
      </c>
      <c r="B379" s="44" t="s">
        <v>6</v>
      </c>
      <c r="C379" s="44" t="s">
        <v>2</v>
      </c>
      <c r="D379" s="44">
        <v>151</v>
      </c>
      <c r="E379" s="44">
        <v>22</v>
      </c>
    </row>
    <row r="380" spans="1:5" x14ac:dyDescent="0.2">
      <c r="A380" s="44" t="s">
        <v>4</v>
      </c>
      <c r="B380" s="44" t="s">
        <v>6</v>
      </c>
      <c r="C380" s="44" t="s">
        <v>7</v>
      </c>
      <c r="D380" s="44">
        <v>1</v>
      </c>
      <c r="E380" s="44">
        <v>22</v>
      </c>
    </row>
    <row r="381" spans="1:5" x14ac:dyDescent="0.2">
      <c r="A381" s="44" t="s">
        <v>4</v>
      </c>
      <c r="B381" s="44" t="s">
        <v>6</v>
      </c>
      <c r="C381" s="44" t="s">
        <v>139</v>
      </c>
      <c r="D381" s="44">
        <v>881</v>
      </c>
      <c r="E381" s="44">
        <v>22</v>
      </c>
    </row>
    <row r="382" spans="1:5" x14ac:dyDescent="0.2">
      <c r="A382" s="44" t="s">
        <v>4</v>
      </c>
      <c r="B382" s="44" t="s">
        <v>141</v>
      </c>
      <c r="C382" s="44" t="s">
        <v>145</v>
      </c>
      <c r="D382" s="44">
        <v>857</v>
      </c>
      <c r="E382" s="44">
        <v>23</v>
      </c>
    </row>
    <row r="383" spans="1:5" x14ac:dyDescent="0.2">
      <c r="A383" s="44" t="s">
        <v>4</v>
      </c>
      <c r="B383" s="44" t="s">
        <v>141</v>
      </c>
      <c r="C383" s="44" t="s">
        <v>10</v>
      </c>
      <c r="D383" s="44">
        <v>55</v>
      </c>
      <c r="E383" s="44">
        <v>23</v>
      </c>
    </row>
    <row r="384" spans="1:5" x14ac:dyDescent="0.2">
      <c r="A384" s="44" t="s">
        <v>4</v>
      </c>
      <c r="B384" s="44" t="s">
        <v>141</v>
      </c>
      <c r="C384" s="44" t="s">
        <v>11</v>
      </c>
      <c r="D384" s="44">
        <v>39</v>
      </c>
      <c r="E384" s="44">
        <v>23</v>
      </c>
    </row>
    <row r="385" spans="1:5" x14ac:dyDescent="0.2">
      <c r="A385" s="44" t="s">
        <v>4</v>
      </c>
      <c r="B385" s="44" t="s">
        <v>141</v>
      </c>
      <c r="C385" s="44" t="s">
        <v>2</v>
      </c>
      <c r="D385" s="44">
        <v>485</v>
      </c>
      <c r="E385" s="44">
        <v>23</v>
      </c>
    </row>
    <row r="386" spans="1:5" x14ac:dyDescent="0.2">
      <c r="A386" s="44" t="s">
        <v>4</v>
      </c>
      <c r="B386" s="44" t="s">
        <v>141</v>
      </c>
      <c r="C386" s="44" t="s">
        <v>7</v>
      </c>
      <c r="D386" s="44">
        <v>0</v>
      </c>
      <c r="E386" s="44">
        <v>23</v>
      </c>
    </row>
    <row r="387" spans="1:5" x14ac:dyDescent="0.2">
      <c r="A387" s="44" t="s">
        <v>4</v>
      </c>
      <c r="B387" s="44" t="s">
        <v>141</v>
      </c>
      <c r="C387" s="44" t="s">
        <v>139</v>
      </c>
      <c r="D387" s="44">
        <v>0</v>
      </c>
      <c r="E387" s="44">
        <v>23</v>
      </c>
    </row>
    <row r="388" spans="1:5" x14ac:dyDescent="0.2">
      <c r="A388" s="44" t="s">
        <v>141</v>
      </c>
      <c r="B388" s="44" t="s">
        <v>144</v>
      </c>
      <c r="C388" s="44" t="s">
        <v>143</v>
      </c>
      <c r="D388" s="44">
        <v>0</v>
      </c>
      <c r="E388" s="44">
        <v>24</v>
      </c>
    </row>
    <row r="389" spans="1:5" x14ac:dyDescent="0.2">
      <c r="A389" s="44" t="s">
        <v>141</v>
      </c>
      <c r="B389" s="44" t="s">
        <v>140</v>
      </c>
      <c r="C389" s="44" t="s">
        <v>142</v>
      </c>
      <c r="D389" s="44">
        <v>263</v>
      </c>
      <c r="E389" s="44">
        <v>25</v>
      </c>
    </row>
    <row r="390" spans="1:5" x14ac:dyDescent="0.2">
      <c r="A390" s="44" t="s">
        <v>141</v>
      </c>
      <c r="B390" s="44" t="s">
        <v>140</v>
      </c>
      <c r="C390" s="44" t="s">
        <v>1</v>
      </c>
      <c r="D390" s="44">
        <v>594</v>
      </c>
      <c r="E390" s="44">
        <v>25</v>
      </c>
    </row>
    <row r="391" spans="1:5" x14ac:dyDescent="0.2">
      <c r="A391" s="44" t="s">
        <v>141</v>
      </c>
      <c r="B391" s="44" t="s">
        <v>140</v>
      </c>
      <c r="C391" s="44" t="s">
        <v>10</v>
      </c>
      <c r="D391" s="44">
        <v>55</v>
      </c>
      <c r="E391" s="44">
        <v>25</v>
      </c>
    </row>
    <row r="392" spans="1:5" x14ac:dyDescent="0.2">
      <c r="A392" s="44" t="s">
        <v>141</v>
      </c>
      <c r="B392" s="44" t="s">
        <v>140</v>
      </c>
      <c r="C392" s="44" t="s">
        <v>11</v>
      </c>
      <c r="D392" s="44">
        <v>39</v>
      </c>
      <c r="E392" s="44">
        <v>25</v>
      </c>
    </row>
    <row r="393" spans="1:5" x14ac:dyDescent="0.2">
      <c r="A393" s="44" t="s">
        <v>141</v>
      </c>
      <c r="B393" s="44" t="s">
        <v>140</v>
      </c>
      <c r="C393" s="44" t="s">
        <v>2</v>
      </c>
      <c r="D393" s="44">
        <v>485</v>
      </c>
      <c r="E393" s="44">
        <v>25</v>
      </c>
    </row>
    <row r="394" spans="1:5" x14ac:dyDescent="0.2">
      <c r="A394" s="44" t="s">
        <v>141</v>
      </c>
      <c r="B394" s="44" t="s">
        <v>140</v>
      </c>
      <c r="C394" s="44" t="s">
        <v>7</v>
      </c>
      <c r="D394" s="44">
        <v>0</v>
      </c>
      <c r="E394" s="44">
        <v>25</v>
      </c>
    </row>
    <row r="395" spans="1:5" x14ac:dyDescent="0.2">
      <c r="A395" s="44" t="s">
        <v>141</v>
      </c>
      <c r="B395" s="44" t="s">
        <v>140</v>
      </c>
      <c r="C395" s="44" t="s">
        <v>139</v>
      </c>
      <c r="D395" s="44">
        <v>0</v>
      </c>
      <c r="E395" s="44">
        <v>25</v>
      </c>
    </row>
  </sheetData>
  <autoFilter ref="A4:E395" xr:uid="{E270A975-9710-D844-87EC-0FAC2A177031}"/>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96BB55-31D7-4443-A422-2D5F2BC6ECDD}">
  <dimension ref="A1:M53"/>
  <sheetViews>
    <sheetView zoomScale="120" zoomScaleNormal="120" workbookViewId="0">
      <selection activeCell="B304" sqref="B304"/>
    </sheetView>
  </sheetViews>
  <sheetFormatPr baseColWidth="10" defaultRowHeight="16" x14ac:dyDescent="0.2"/>
  <cols>
    <col min="1" max="1" width="25.83203125" customWidth="1"/>
    <col min="2" max="2" width="13.83203125" customWidth="1"/>
    <col min="5" max="5" width="25.6640625" customWidth="1"/>
  </cols>
  <sheetData>
    <row r="1" spans="1:6" ht="21" x14ac:dyDescent="0.25">
      <c r="A1" s="19" t="s">
        <v>265</v>
      </c>
    </row>
    <row r="4" spans="1:6" x14ac:dyDescent="0.2">
      <c r="A4" s="2" t="s">
        <v>266</v>
      </c>
      <c r="B4" s="70" t="s">
        <v>270</v>
      </c>
      <c r="E4" s="2" t="s">
        <v>274</v>
      </c>
    </row>
    <row r="6" spans="1:6" x14ac:dyDescent="0.2">
      <c r="A6" s="39" t="s">
        <v>272</v>
      </c>
      <c r="B6" s="39" t="s">
        <v>273</v>
      </c>
      <c r="E6" s="39" t="s">
        <v>76</v>
      </c>
      <c r="F6" s="39" t="s">
        <v>273</v>
      </c>
    </row>
    <row r="7" spans="1:6" x14ac:dyDescent="0.2">
      <c r="A7" s="40" t="s">
        <v>38</v>
      </c>
      <c r="B7" s="50">
        <v>0.7</v>
      </c>
      <c r="E7" s="40" t="s">
        <v>82</v>
      </c>
      <c r="F7" s="50" t="e">
        <f>IF($B$4=Conversions!$A$12,INDEX('Rec. Max'!$M$39:$M$53,MATCH('Rec. Max'!$E7,'Rec. Max'!$A$39:$A$53,0),1),INDEX('Rec. Max'!$B$20:$B$34,MATCH('Rec. Max'!$E7,$A$20:$A$34,0),1))</f>
        <v>#N/A</v>
      </c>
    </row>
    <row r="8" spans="1:6" x14ac:dyDescent="0.2">
      <c r="A8" s="40" t="s">
        <v>99</v>
      </c>
      <c r="B8" s="50">
        <v>0.7</v>
      </c>
      <c r="E8" s="40" t="s">
        <v>127</v>
      </c>
      <c r="F8" s="50" t="e">
        <f>IF($B$4=Conversions!$A$12,INDEX('Rec. Max'!$M$39:$M$53,MATCH('Rec. Max'!$E8,'Rec. Max'!$A$39:$A$53,0),1),INDEX('Rec. Max'!$B$20:$B$34,MATCH('Rec. Max'!$E8,$A$20:$A$34,0),1))</f>
        <v>#N/A</v>
      </c>
    </row>
    <row r="9" spans="1:6" x14ac:dyDescent="0.2">
      <c r="A9" s="40" t="s">
        <v>69</v>
      </c>
      <c r="B9" s="50">
        <v>0.5</v>
      </c>
      <c r="E9" s="40" t="s">
        <v>8</v>
      </c>
      <c r="F9" s="50" t="e">
        <f>IF($B$4=Conversions!$A$12,INDEX('Rec. Max'!$M$39:$M$53,MATCH('Rec. Max'!$E9,'Rec. Max'!$A$39:$A$53,0),1),INDEX('Rec. Max'!$B$20:$B$34,MATCH('Rec. Max'!$E9,$A$20:$A$34,0),1))</f>
        <v>#N/A</v>
      </c>
    </row>
    <row r="10" spans="1:6" x14ac:dyDescent="0.2">
      <c r="A10" s="40" t="s">
        <v>100</v>
      </c>
      <c r="B10" s="74">
        <v>0.2</v>
      </c>
      <c r="E10" s="40" t="s">
        <v>19</v>
      </c>
      <c r="F10" s="50" t="e">
        <f>IF($B$4=Conversions!$A$12,INDEX('Rec. Max'!$M$39:$M$53,MATCH('Rec. Max'!$E10,'Rec. Max'!$A$39:$A$53,0),1),INDEX('Rec. Max'!$B$20:$B$34,MATCH('Rec. Max'!$E10,$A$20:$A$34,0),1))</f>
        <v>#N/A</v>
      </c>
    </row>
    <row r="11" spans="1:6" x14ac:dyDescent="0.2">
      <c r="A11" s="40" t="s">
        <v>39</v>
      </c>
      <c r="B11" s="50">
        <v>0.2</v>
      </c>
      <c r="E11" s="40" t="s">
        <v>1</v>
      </c>
      <c r="F11" s="50" t="e">
        <f>IF($B$4=Conversions!$A$12,INDEX('Rec. Max'!$M$39:$M$53,MATCH('Rec. Max'!$E11,'Rec. Max'!$A$39:$A$53,0),1),INDEX('Rec. Max'!$B$20:$B$34,MATCH('Rec. Max'!$E11,$A$20:$A$34,0),1))</f>
        <v>#N/A</v>
      </c>
    </row>
    <row r="12" spans="1:6" x14ac:dyDescent="0.2">
      <c r="A12" s="40" t="s">
        <v>68</v>
      </c>
      <c r="B12" s="50">
        <v>0.8</v>
      </c>
      <c r="E12" s="40" t="s">
        <v>10</v>
      </c>
      <c r="F12" s="50" t="e">
        <f>IF($B$4=Conversions!$A$12,INDEX('Rec. Max'!$M$39:$M$53,MATCH('Rec. Max'!$E12,'Rec. Max'!$A$39:$A$53,0),1),INDEX('Rec. Max'!$B$20:$B$34,MATCH('Rec. Max'!$E12,$A$20:$A$34,0),1))</f>
        <v>#N/A</v>
      </c>
    </row>
    <row r="13" spans="1:6" x14ac:dyDescent="0.2">
      <c r="A13" s="40" t="s">
        <v>91</v>
      </c>
      <c r="B13" s="74">
        <v>0.65</v>
      </c>
      <c r="E13" s="40" t="s">
        <v>11</v>
      </c>
      <c r="F13" s="50" t="e">
        <f>IF($B$4=Conversions!$A$12,INDEX('Rec. Max'!$M$39:$M$53,MATCH('Rec. Max'!$E13,'Rec. Max'!$A$39:$A$53,0),1),INDEX('Rec. Max'!$B$20:$B$34,MATCH('Rec. Max'!$E13,$A$20:$A$34,0),1))</f>
        <v>#N/A</v>
      </c>
    </row>
    <row r="14" spans="1:6" x14ac:dyDescent="0.2">
      <c r="A14" s="40" t="s">
        <v>92</v>
      </c>
      <c r="B14" s="50">
        <v>0</v>
      </c>
      <c r="E14" s="40" t="s">
        <v>25</v>
      </c>
      <c r="F14" s="50" t="e">
        <f>IF($B$4=Conversions!$A$12,INDEX('Rec. Max'!$M$39:$M$53,MATCH('Rec. Max'!$E14,'Rec. Max'!$A$39:$A$53,0),1),INDEX('Rec. Max'!$B$20:$B$34,MATCH('Rec. Max'!$E14,$A$20:$A$34,0),1))</f>
        <v>#N/A</v>
      </c>
    </row>
    <row r="15" spans="1:6" x14ac:dyDescent="0.2">
      <c r="A15" s="40" t="s">
        <v>103</v>
      </c>
      <c r="B15" s="50">
        <v>0.1</v>
      </c>
      <c r="E15" s="40" t="s">
        <v>7</v>
      </c>
      <c r="F15" s="50" t="e">
        <f>IF($B$4=Conversions!$A$12,INDEX('Rec. Max'!$M$39:$M$53,MATCH('Rec. Max'!$E15,'Rec. Max'!$A$39:$A$53,0),1),INDEX('Rec. Max'!$B$20:$B$34,MATCH('Rec. Max'!$E15,$A$20:$A$34,0),1))</f>
        <v>#N/A</v>
      </c>
    </row>
    <row r="16" spans="1:6" x14ac:dyDescent="0.2">
      <c r="A16" s="40" t="s">
        <v>86</v>
      </c>
      <c r="B16" s="50">
        <v>0.1</v>
      </c>
      <c r="E16" s="40" t="s">
        <v>2</v>
      </c>
      <c r="F16" s="50" t="e">
        <f>IF($B$4=Conversions!$A$12,INDEX('Rec. Max'!$M$39:$M$53,MATCH('Rec. Max'!$E16,'Rec. Max'!$A$39:$A$53,0),1),INDEX('Rec. Max'!$B$20:$B$34,MATCH('Rec. Max'!$E16,$A$20:$A$34,0),1))</f>
        <v>#N/A</v>
      </c>
    </row>
    <row r="17" spans="1:6" x14ac:dyDescent="0.2">
      <c r="A17" s="40" t="s">
        <v>18</v>
      </c>
      <c r="B17" s="50">
        <v>0</v>
      </c>
      <c r="E17" s="40" t="s">
        <v>30</v>
      </c>
      <c r="F17" s="50" t="e">
        <f>IF($B$4=Conversions!$A$12,INDEX('Rec. Max'!$M$39:$M$53,MATCH('Rec. Max'!$E17,'Rec. Max'!$A$39:$A$53,0),1),INDEX('Rec. Max'!$B$20:$B$34,MATCH('Rec. Max'!$E17,$A$20:$A$34,0),1))</f>
        <v>#N/A</v>
      </c>
    </row>
    <row r="18" spans="1:6" x14ac:dyDescent="0.2">
      <c r="E18" s="40" t="s">
        <v>31</v>
      </c>
      <c r="F18" s="50" t="e">
        <f>IF($B$4=Conversions!$A$12,INDEX('Rec. Max'!$M$39:$M$53,MATCH('Rec. Max'!$E18,'Rec. Max'!$A$39:$A$53,0),1),INDEX('Rec. Max'!$B$20:$B$34,MATCH('Rec. Max'!$E18,$A$20:$A$34,0),1))</f>
        <v>#N/A</v>
      </c>
    </row>
    <row r="19" spans="1:6" x14ac:dyDescent="0.2">
      <c r="A19" s="39" t="s">
        <v>267</v>
      </c>
      <c r="B19" s="39" t="s">
        <v>273</v>
      </c>
      <c r="E19" s="40" t="s">
        <v>122</v>
      </c>
      <c r="F19" s="50" t="e">
        <f>IF($B$4=Conversions!$A$12,INDEX('Rec. Max'!$M$39:$M$53,MATCH('Rec. Max'!$E19,'Rec. Max'!$A$39:$A$53,0),1),INDEX('Rec. Max'!$B$20:$B$34,MATCH('Rec. Max'!$E19,$A$20:$A$34,0),1))</f>
        <v>#N/A</v>
      </c>
    </row>
    <row r="20" spans="1:6" x14ac:dyDescent="0.2">
      <c r="A20" s="40" t="s">
        <v>82</v>
      </c>
      <c r="B20" s="50">
        <v>1</v>
      </c>
      <c r="E20" s="40" t="s">
        <v>32</v>
      </c>
      <c r="F20" s="50" t="e">
        <f>IF($B$4=Conversions!$A$12,INDEX('Rec. Max'!$M$39:$M$53,MATCH('Rec. Max'!$E20,'Rec. Max'!$A$39:$A$53,0),1),INDEX('Rec. Max'!$B$20:$B$34,MATCH('Rec. Max'!$E20,$A$20:$A$34,0),1))</f>
        <v>#N/A</v>
      </c>
    </row>
    <row r="21" spans="1:6" x14ac:dyDescent="0.2">
      <c r="A21" s="40" t="s">
        <v>127</v>
      </c>
      <c r="B21" s="50">
        <v>0.5</v>
      </c>
      <c r="E21" s="40" t="s">
        <v>105</v>
      </c>
      <c r="F21" s="50" t="e">
        <f>IF($B$4=Conversions!$A$12,INDEX('Rec. Max'!$M$39:$M$53,MATCH('Rec. Max'!$E21,'Rec. Max'!$A$39:$A$53,0),1),INDEX('Rec. Max'!$B$20:$B$34,MATCH('Rec. Max'!$E21,$A$20:$A$34,0),1))</f>
        <v>#N/A</v>
      </c>
    </row>
    <row r="22" spans="1:6" x14ac:dyDescent="0.2">
      <c r="A22" s="40" t="s">
        <v>8</v>
      </c>
      <c r="B22" s="50">
        <v>0.5</v>
      </c>
    </row>
    <row r="23" spans="1:6" x14ac:dyDescent="0.2">
      <c r="A23" s="40" t="s">
        <v>19</v>
      </c>
      <c r="B23" s="50">
        <v>0.5</v>
      </c>
    </row>
    <row r="24" spans="1:6" x14ac:dyDescent="0.2">
      <c r="A24" s="40" t="s">
        <v>1</v>
      </c>
      <c r="B24" s="50">
        <v>1</v>
      </c>
    </row>
    <row r="25" spans="1:6" x14ac:dyDescent="0.2">
      <c r="A25" s="40" t="s">
        <v>10</v>
      </c>
      <c r="B25" s="50">
        <v>1</v>
      </c>
    </row>
    <row r="26" spans="1:6" x14ac:dyDescent="0.2">
      <c r="A26" s="40" t="s">
        <v>11</v>
      </c>
      <c r="B26" s="50">
        <v>1</v>
      </c>
    </row>
    <row r="27" spans="1:6" x14ac:dyDescent="0.2">
      <c r="A27" s="40" t="s">
        <v>25</v>
      </c>
      <c r="B27" s="50">
        <v>0.5</v>
      </c>
    </row>
    <row r="28" spans="1:6" x14ac:dyDescent="0.2">
      <c r="A28" s="40" t="s">
        <v>7</v>
      </c>
      <c r="B28" s="50">
        <v>1</v>
      </c>
    </row>
    <row r="29" spans="1:6" x14ac:dyDescent="0.2">
      <c r="A29" s="40" t="s">
        <v>2</v>
      </c>
      <c r="B29" s="50">
        <v>1</v>
      </c>
    </row>
    <row r="30" spans="1:6" x14ac:dyDescent="0.2">
      <c r="A30" s="40" t="s">
        <v>30</v>
      </c>
      <c r="B30" s="50">
        <v>0.5</v>
      </c>
    </row>
    <row r="31" spans="1:6" x14ac:dyDescent="0.2">
      <c r="A31" s="40" t="s">
        <v>31</v>
      </c>
      <c r="B31" s="50">
        <v>1</v>
      </c>
    </row>
    <row r="32" spans="1:6" x14ac:dyDescent="0.2">
      <c r="A32" s="40" t="s">
        <v>122</v>
      </c>
      <c r="B32" s="50">
        <v>0.5</v>
      </c>
    </row>
    <row r="33" spans="1:13" x14ac:dyDescent="0.2">
      <c r="A33" s="40" t="s">
        <v>32</v>
      </c>
      <c r="B33" s="50">
        <v>0.5</v>
      </c>
    </row>
    <row r="34" spans="1:13" x14ac:dyDescent="0.2">
      <c r="A34" s="40" t="s">
        <v>105</v>
      </c>
      <c r="B34" s="50">
        <v>0.5</v>
      </c>
    </row>
    <row r="36" spans="1:13" x14ac:dyDescent="0.2">
      <c r="A36" s="2" t="s">
        <v>275</v>
      </c>
    </row>
    <row r="38" spans="1:13" x14ac:dyDescent="0.2">
      <c r="A38" s="39" t="str">
        <f>PlasticsUse!A26</f>
        <v>Resin Type</v>
      </c>
      <c r="B38" s="39" t="str">
        <f>PlasticsUse!B26</f>
        <v>Building and Construction</v>
      </c>
      <c r="C38" s="39" t="str">
        <f>PlasticsUse!C26</f>
        <v>Furniture and Furnishings</v>
      </c>
      <c r="D38" s="39" t="str">
        <f>PlasticsUse!D26</f>
        <v>Transportation</v>
      </c>
      <c r="E38" s="39" t="str">
        <f>PlasticsUse!E26</f>
        <v>Industrial/Machinery</v>
      </c>
      <c r="F38" s="39" t="str">
        <f>PlasticsUse!F26</f>
        <v>Packaging</v>
      </c>
      <c r="G38" s="39" t="str">
        <f>PlasticsUse!G26</f>
        <v>Electrical/Electronic</v>
      </c>
      <c r="H38" s="39" t="str">
        <f>PlasticsUse!H26</f>
        <v>Consumer and Institutional</v>
      </c>
      <c r="I38" s="39" t="str">
        <f>PlasticsUse!I26</f>
        <v>Adhesives/Inks/Coatings</v>
      </c>
      <c r="J38" s="39" t="str">
        <f>PlasticsUse!J26</f>
        <v>Textiles, Fibers and Apparel</v>
      </c>
      <c r="K38" s="39" t="str">
        <f>PlasticsUse!K26</f>
        <v>Other End Use Markets</v>
      </c>
      <c r="L38" s="39" t="str">
        <f>PlasticsUse!L26</f>
        <v>Exports</v>
      </c>
      <c r="M38" s="39" t="str">
        <f>PlasticsUse!M26</f>
        <v>TOTAL</v>
      </c>
    </row>
    <row r="39" spans="1:13" x14ac:dyDescent="0.2">
      <c r="A39" s="39" t="str">
        <f>PlasticsUse!A27</f>
        <v>Polyurethane</v>
      </c>
      <c r="B39" s="50">
        <f>PlasticsUse!B27*INDEX($B$7:$B$17,MATCH(B$38,$A$7:$A$17,0),1)</f>
        <v>6.3635206632606675E-2</v>
      </c>
      <c r="C39" s="50">
        <f>PlasticsUse!C27*INDEX($B$7:$B$17,MATCH(C$38,$A$7:$A$17,0),1)</f>
        <v>6.3635206632606675E-2</v>
      </c>
      <c r="D39" s="50">
        <f>PlasticsUse!D27*INDEX($B$7:$B$17,MATCH(D$38,$A$7:$A$17,0),1)</f>
        <v>4.5453719023290484E-2</v>
      </c>
      <c r="E39" s="50">
        <f>PlasticsUse!E27*INDEX($B$7:$B$17,MATCH(E$38,$A$7:$A$17,0),1)</f>
        <v>1.8181487609316194E-2</v>
      </c>
      <c r="F39" s="50">
        <f>PlasticsUse!F27*INDEX($B$7:$B$17,MATCH(F$38,$A$7:$A$17,0),1)</f>
        <v>1.8181487609316194E-2</v>
      </c>
      <c r="G39" s="50">
        <f>PlasticsUse!G27*INDEX($B$7:$B$17,MATCH(G$38,$A$7:$A$17,0),1)</f>
        <v>7.2725950437264777E-2</v>
      </c>
      <c r="H39" s="50" t="e">
        <f>PlasticsUse!H27*INDEX($B$7:$B$17,MATCH(H$38,$A$7:$A$17,0),1)</f>
        <v>#N/A</v>
      </c>
      <c r="I39" s="50">
        <f>PlasticsUse!I27*INDEX($B$7:$B$17,MATCH(I$38,$A$7:$A$17,0),1)</f>
        <v>0</v>
      </c>
      <c r="J39" s="50">
        <f>PlasticsUse!J27*INDEX($B$7:$B$17,MATCH(J$38,$A$7:$A$17,0),1)</f>
        <v>9.0907438046580972E-3</v>
      </c>
      <c r="K39" s="50">
        <f>PlasticsUse!K27*INDEX($B$7:$B$17,MATCH(K$38,$A$7:$A$17,0),1)</f>
        <v>9.0907438046580972E-3</v>
      </c>
      <c r="L39" s="50">
        <f>PlasticsUse!L27*INDEX($B$7:$B$17,MATCH(L$38,$A$7:$A$17,0),1)</f>
        <v>0</v>
      </c>
      <c r="M39" s="57" t="e">
        <f>SUM(B39:L39)</f>
        <v>#N/A</v>
      </c>
    </row>
    <row r="40" spans="1:13" x14ac:dyDescent="0.2">
      <c r="A40" s="39" t="str">
        <f>PlasticsUse!A28</f>
        <v>Other thermosets</v>
      </c>
      <c r="B40" s="50">
        <f>PlasticsUse!B28*INDEX($B$7:$B$17,MATCH(B$38,$A$7:$A$17,0),1)</f>
        <v>0</v>
      </c>
      <c r="C40" s="50">
        <f>PlasticsUse!C28*INDEX($B$7:$B$17,MATCH(C$38,$A$7:$A$17,0),1)</f>
        <v>0</v>
      </c>
      <c r="D40" s="50">
        <f>PlasticsUse!D28*INDEX($B$7:$B$17,MATCH(D$38,$A$7:$A$17,0),1)</f>
        <v>0</v>
      </c>
      <c r="E40" s="50">
        <f>PlasticsUse!E28*INDEX($B$7:$B$17,MATCH(E$38,$A$7:$A$17,0),1)</f>
        <v>0</v>
      </c>
      <c r="F40" s="50">
        <f>PlasticsUse!F28*INDEX($B$7:$B$17,MATCH(F$38,$A$7:$A$17,0),1)</f>
        <v>0</v>
      </c>
      <c r="G40" s="50">
        <f>PlasticsUse!G28*INDEX($B$7:$B$17,MATCH(G$38,$A$7:$A$17,0),1)</f>
        <v>0</v>
      </c>
      <c r="H40" s="50" t="e">
        <f>PlasticsUse!H28*INDEX($B$7:$B$17,MATCH(H$38,$A$7:$A$17,0),1)</f>
        <v>#N/A</v>
      </c>
      <c r="I40" s="50">
        <f>PlasticsUse!I28*INDEX($B$7:$B$17,MATCH(I$38,$A$7:$A$17,0),1)</f>
        <v>0</v>
      </c>
      <c r="J40" s="50">
        <f>PlasticsUse!J28*INDEX($B$7:$B$17,MATCH(J$38,$A$7:$A$17,0),1)</f>
        <v>0</v>
      </c>
      <c r="K40" s="50">
        <f>PlasticsUse!K28*INDEX($B$7:$B$17,MATCH(K$38,$A$7:$A$17,0),1)</f>
        <v>0.1</v>
      </c>
      <c r="L40" s="50">
        <f>PlasticsUse!L28*INDEX($B$7:$B$17,MATCH(L$38,$A$7:$A$17,0),1)</f>
        <v>0</v>
      </c>
      <c r="M40" s="57" t="e">
        <f t="shared" ref="M40:M53" si="0">SUM(B40:L40)</f>
        <v>#N/A</v>
      </c>
    </row>
    <row r="41" spans="1:13" x14ac:dyDescent="0.2">
      <c r="A41" s="39" t="str">
        <f>PlasticsUse!A29</f>
        <v>LDPE</v>
      </c>
      <c r="B41" s="50">
        <f>PlasticsUse!B29*INDEX($B$7:$B$17,MATCH(B$38,$A$7:$A$17,0),1)</f>
        <v>6.3635206632606675E-2</v>
      </c>
      <c r="C41" s="50">
        <f>PlasticsUse!C29*INDEX($B$7:$B$17,MATCH(C$38,$A$7:$A$17,0),1)</f>
        <v>6.3635206632606675E-2</v>
      </c>
      <c r="D41" s="50">
        <f>PlasticsUse!D29*INDEX($B$7:$B$17,MATCH(D$38,$A$7:$A$17,0),1)</f>
        <v>4.5453719023290484E-2</v>
      </c>
      <c r="E41" s="50">
        <f>PlasticsUse!E29*INDEX($B$7:$B$17,MATCH(E$38,$A$7:$A$17,0),1)</f>
        <v>1.8181487609316194E-2</v>
      </c>
      <c r="F41" s="50">
        <f>PlasticsUse!F29*INDEX($B$7:$B$17,MATCH(F$38,$A$7:$A$17,0),1)</f>
        <v>1.8181487609316194E-2</v>
      </c>
      <c r="G41" s="50">
        <f>PlasticsUse!G29*INDEX($B$7:$B$17,MATCH(G$38,$A$7:$A$17,0),1)</f>
        <v>7.2725950437264777E-2</v>
      </c>
      <c r="H41" s="50" t="e">
        <f>PlasticsUse!H29*INDEX($B$7:$B$17,MATCH(H$38,$A$7:$A$17,0),1)</f>
        <v>#N/A</v>
      </c>
      <c r="I41" s="50">
        <f>PlasticsUse!I29*INDEX($B$7:$B$17,MATCH(I$38,$A$7:$A$17,0),1)</f>
        <v>0</v>
      </c>
      <c r="J41" s="50">
        <f>PlasticsUse!J29*INDEX($B$7:$B$17,MATCH(J$38,$A$7:$A$17,0),1)</f>
        <v>0</v>
      </c>
      <c r="K41" s="50">
        <f>PlasticsUse!K29*INDEX($B$7:$B$17,MATCH(K$38,$A$7:$A$17,0),1)</f>
        <v>9.0907438046580972E-3</v>
      </c>
      <c r="L41" s="50">
        <f>PlasticsUse!L29*INDEX($B$7:$B$17,MATCH(L$38,$A$7:$A$17,0),1)</f>
        <v>0</v>
      </c>
      <c r="M41" s="57" t="e">
        <f t="shared" si="0"/>
        <v>#N/A</v>
      </c>
    </row>
    <row r="42" spans="1:13" x14ac:dyDescent="0.2">
      <c r="A42" s="39" t="str">
        <f>PlasticsUse!A30</f>
        <v>LLDPE</v>
      </c>
      <c r="B42" s="50">
        <f>PlasticsUse!B30*INDEX($B$7:$B$17,MATCH(B$38,$A$7:$A$17,0),1)</f>
        <v>6.3635206632606675E-2</v>
      </c>
      <c r="C42" s="50">
        <f>PlasticsUse!C30*INDEX($B$7:$B$17,MATCH(C$38,$A$7:$A$17,0),1)</f>
        <v>6.3635206632606675E-2</v>
      </c>
      <c r="D42" s="50">
        <f>PlasticsUse!D30*INDEX($B$7:$B$17,MATCH(D$38,$A$7:$A$17,0),1)</f>
        <v>4.5453719023290484E-2</v>
      </c>
      <c r="E42" s="50">
        <f>PlasticsUse!E30*INDEX($B$7:$B$17,MATCH(E$38,$A$7:$A$17,0),1)</f>
        <v>1.8181487609316194E-2</v>
      </c>
      <c r="F42" s="50">
        <f>PlasticsUse!F30*INDEX($B$7:$B$17,MATCH(F$38,$A$7:$A$17,0),1)</f>
        <v>1.8181487609316194E-2</v>
      </c>
      <c r="G42" s="50">
        <f>PlasticsUse!G30*INDEX($B$7:$B$17,MATCH(G$38,$A$7:$A$17,0),1)</f>
        <v>7.2725950437264777E-2</v>
      </c>
      <c r="H42" s="50" t="e">
        <f>PlasticsUse!H30*INDEX($B$7:$B$17,MATCH(H$38,$A$7:$A$17,0),1)</f>
        <v>#N/A</v>
      </c>
      <c r="I42" s="50">
        <f>PlasticsUse!I30*INDEX($B$7:$B$17,MATCH(I$38,$A$7:$A$17,0),1)</f>
        <v>0</v>
      </c>
      <c r="J42" s="50">
        <f>PlasticsUse!J30*INDEX($B$7:$B$17,MATCH(J$38,$A$7:$A$17,0),1)</f>
        <v>0</v>
      </c>
      <c r="K42" s="50">
        <f>PlasticsUse!K30*INDEX($B$7:$B$17,MATCH(K$38,$A$7:$A$17,0),1)</f>
        <v>9.0907438046580972E-3</v>
      </c>
      <c r="L42" s="50">
        <f>PlasticsUse!L30*INDEX($B$7:$B$17,MATCH(L$38,$A$7:$A$17,0),1)</f>
        <v>0</v>
      </c>
      <c r="M42" s="57" t="e">
        <f t="shared" si="0"/>
        <v>#N/A</v>
      </c>
    </row>
    <row r="43" spans="1:13" x14ac:dyDescent="0.2">
      <c r="A43" s="39" t="str">
        <f>PlasticsUse!A31</f>
        <v>HDPE</v>
      </c>
      <c r="B43" s="50">
        <f>PlasticsUse!B31*INDEX($B$7:$B$17,MATCH(B$38,$A$7:$A$17,0),1)</f>
        <v>6.3635206632606675E-2</v>
      </c>
      <c r="C43" s="50">
        <f>PlasticsUse!C31*INDEX($B$7:$B$17,MATCH(C$38,$A$7:$A$17,0),1)</f>
        <v>6.3635206632606675E-2</v>
      </c>
      <c r="D43" s="50">
        <f>PlasticsUse!D31*INDEX($B$7:$B$17,MATCH(D$38,$A$7:$A$17,0),1)</f>
        <v>4.5453719023290484E-2</v>
      </c>
      <c r="E43" s="50">
        <f>PlasticsUse!E31*INDEX($B$7:$B$17,MATCH(E$38,$A$7:$A$17,0),1)</f>
        <v>1.8181487609316194E-2</v>
      </c>
      <c r="F43" s="50">
        <f>PlasticsUse!F31*INDEX($B$7:$B$17,MATCH(F$38,$A$7:$A$17,0),1)</f>
        <v>1.8181487609316194E-2</v>
      </c>
      <c r="G43" s="50">
        <f>PlasticsUse!G31*INDEX($B$7:$B$17,MATCH(G$38,$A$7:$A$17,0),1)</f>
        <v>7.2725950437264777E-2</v>
      </c>
      <c r="H43" s="50" t="e">
        <f>PlasticsUse!H31*INDEX($B$7:$B$17,MATCH(H$38,$A$7:$A$17,0),1)</f>
        <v>#N/A</v>
      </c>
      <c r="I43" s="50">
        <f>PlasticsUse!I31*INDEX($B$7:$B$17,MATCH(I$38,$A$7:$A$17,0),1)</f>
        <v>0</v>
      </c>
      <c r="J43" s="50">
        <f>PlasticsUse!J31*INDEX($B$7:$B$17,MATCH(J$38,$A$7:$A$17,0),1)</f>
        <v>0</v>
      </c>
      <c r="K43" s="50">
        <f>PlasticsUse!K31*INDEX($B$7:$B$17,MATCH(K$38,$A$7:$A$17,0),1)</f>
        <v>9.0907438046580972E-3</v>
      </c>
      <c r="L43" s="50">
        <f>PlasticsUse!L31*INDEX($B$7:$B$17,MATCH(L$38,$A$7:$A$17,0),1)</f>
        <v>0</v>
      </c>
      <c r="M43" s="57" t="e">
        <f t="shared" si="0"/>
        <v>#N/A</v>
      </c>
    </row>
    <row r="44" spans="1:13" x14ac:dyDescent="0.2">
      <c r="A44" s="39" t="str">
        <f>PlasticsUse!A32</f>
        <v>PP</v>
      </c>
      <c r="B44" s="50">
        <f>PlasticsUse!B32*INDEX($B$7:$B$17,MATCH(B$38,$A$7:$A$17,0),1)</f>
        <v>6.3635206632606675E-2</v>
      </c>
      <c r="C44" s="50">
        <f>PlasticsUse!C32*INDEX($B$7:$B$17,MATCH(C$38,$A$7:$A$17,0),1)</f>
        <v>6.3635206632606675E-2</v>
      </c>
      <c r="D44" s="50">
        <f>PlasticsUse!D32*INDEX($B$7:$B$17,MATCH(D$38,$A$7:$A$17,0),1)</f>
        <v>4.5453719023290484E-2</v>
      </c>
      <c r="E44" s="50">
        <f>PlasticsUse!E32*INDEX($B$7:$B$17,MATCH(E$38,$A$7:$A$17,0),1)</f>
        <v>1.8181487609316194E-2</v>
      </c>
      <c r="F44" s="50">
        <f>PlasticsUse!F32*INDEX($B$7:$B$17,MATCH(F$38,$A$7:$A$17,0),1)</f>
        <v>1.8181487609316194E-2</v>
      </c>
      <c r="G44" s="50">
        <f>PlasticsUse!G32*INDEX($B$7:$B$17,MATCH(G$38,$A$7:$A$17,0),1)</f>
        <v>7.2725950437264777E-2</v>
      </c>
      <c r="H44" s="50" t="e">
        <f>PlasticsUse!H32*INDEX($B$7:$B$17,MATCH(H$38,$A$7:$A$17,0),1)</f>
        <v>#N/A</v>
      </c>
      <c r="I44" s="50">
        <f>PlasticsUse!I32*INDEX($B$7:$B$17,MATCH(I$38,$A$7:$A$17,0),1)</f>
        <v>0</v>
      </c>
      <c r="J44" s="50">
        <f>PlasticsUse!J32*INDEX($B$7:$B$17,MATCH(J$38,$A$7:$A$17,0),1)</f>
        <v>0</v>
      </c>
      <c r="K44" s="50">
        <f>PlasticsUse!K32*INDEX($B$7:$B$17,MATCH(K$38,$A$7:$A$17,0),1)</f>
        <v>9.0907438046580972E-3</v>
      </c>
      <c r="L44" s="50">
        <f>PlasticsUse!L32*INDEX($B$7:$B$17,MATCH(L$38,$A$7:$A$17,0),1)</f>
        <v>0</v>
      </c>
      <c r="M44" s="57" t="e">
        <f t="shared" si="0"/>
        <v>#N/A</v>
      </c>
    </row>
    <row r="45" spans="1:13" x14ac:dyDescent="0.2">
      <c r="A45" s="39" t="str">
        <f>PlasticsUse!A33</f>
        <v>PS</v>
      </c>
      <c r="B45" s="50">
        <f>PlasticsUse!B33*INDEX($B$7:$B$17,MATCH(B$38,$A$7:$A$17,0),1)</f>
        <v>6.3635206632606675E-2</v>
      </c>
      <c r="C45" s="50">
        <f>PlasticsUse!C33*INDEX($B$7:$B$17,MATCH(C$38,$A$7:$A$17,0),1)</f>
        <v>6.3635206632606675E-2</v>
      </c>
      <c r="D45" s="50">
        <f>PlasticsUse!D33*INDEX($B$7:$B$17,MATCH(D$38,$A$7:$A$17,0),1)</f>
        <v>4.5453719023290484E-2</v>
      </c>
      <c r="E45" s="50">
        <f>PlasticsUse!E33*INDEX($B$7:$B$17,MATCH(E$38,$A$7:$A$17,0),1)</f>
        <v>1.8181487609316194E-2</v>
      </c>
      <c r="F45" s="50">
        <f>PlasticsUse!F33*INDEX($B$7:$B$17,MATCH(F$38,$A$7:$A$17,0),1)</f>
        <v>1.8181487609316194E-2</v>
      </c>
      <c r="G45" s="50">
        <f>PlasticsUse!G33*INDEX($B$7:$B$17,MATCH(G$38,$A$7:$A$17,0),1)</f>
        <v>7.2725950437264777E-2</v>
      </c>
      <c r="H45" s="50" t="e">
        <f>PlasticsUse!H33*INDEX($B$7:$B$17,MATCH(H$38,$A$7:$A$17,0),1)</f>
        <v>#N/A</v>
      </c>
      <c r="I45" s="50">
        <f>PlasticsUse!I33*INDEX($B$7:$B$17,MATCH(I$38,$A$7:$A$17,0),1)</f>
        <v>0</v>
      </c>
      <c r="J45" s="50">
        <f>PlasticsUse!J33*INDEX($B$7:$B$17,MATCH(J$38,$A$7:$A$17,0),1)</f>
        <v>0</v>
      </c>
      <c r="K45" s="50">
        <f>PlasticsUse!K33*INDEX($B$7:$B$17,MATCH(K$38,$A$7:$A$17,0),1)</f>
        <v>9.0907438046580972E-3</v>
      </c>
      <c r="L45" s="50">
        <f>PlasticsUse!L33*INDEX($B$7:$B$17,MATCH(L$38,$A$7:$A$17,0),1)</f>
        <v>0</v>
      </c>
      <c r="M45" s="57" t="e">
        <f t="shared" si="0"/>
        <v>#N/A</v>
      </c>
    </row>
    <row r="46" spans="1:13" x14ac:dyDescent="0.2">
      <c r="A46" s="39" t="str">
        <f>PlasticsUse!A34</f>
        <v>EPS</v>
      </c>
      <c r="B46" s="50">
        <f>PlasticsUse!B34*INDEX($B$7:$B$17,MATCH(B$38,$A$7:$A$17,0),1)</f>
        <v>6.3635206632606675E-2</v>
      </c>
      <c r="C46" s="50">
        <f>PlasticsUse!C34*INDEX($B$7:$B$17,MATCH(C$38,$A$7:$A$17,0),1)</f>
        <v>6.3635206632606675E-2</v>
      </c>
      <c r="D46" s="50">
        <f>PlasticsUse!D34*INDEX($B$7:$B$17,MATCH(D$38,$A$7:$A$17,0),1)</f>
        <v>4.5453719023290484E-2</v>
      </c>
      <c r="E46" s="50">
        <f>PlasticsUse!E34*INDEX($B$7:$B$17,MATCH(E$38,$A$7:$A$17,0),1)</f>
        <v>1.8181487609316194E-2</v>
      </c>
      <c r="F46" s="50">
        <f>PlasticsUse!F34*INDEX($B$7:$B$17,MATCH(F$38,$A$7:$A$17,0),1)</f>
        <v>1.8181487609316194E-2</v>
      </c>
      <c r="G46" s="50">
        <f>PlasticsUse!G34*INDEX($B$7:$B$17,MATCH(G$38,$A$7:$A$17,0),1)</f>
        <v>7.2725950437264777E-2</v>
      </c>
      <c r="H46" s="50" t="e">
        <f>PlasticsUse!H34*INDEX($B$7:$B$17,MATCH(H$38,$A$7:$A$17,0),1)</f>
        <v>#N/A</v>
      </c>
      <c r="I46" s="50">
        <f>PlasticsUse!I34*INDEX($B$7:$B$17,MATCH(I$38,$A$7:$A$17,0),1)</f>
        <v>0</v>
      </c>
      <c r="J46" s="50">
        <f>PlasticsUse!J34*INDEX($B$7:$B$17,MATCH(J$38,$A$7:$A$17,0),1)</f>
        <v>0</v>
      </c>
      <c r="K46" s="50">
        <f>PlasticsUse!K34*INDEX($B$7:$B$17,MATCH(K$38,$A$7:$A$17,0),1)</f>
        <v>9.0907438046580972E-3</v>
      </c>
      <c r="L46" s="50">
        <f>PlasticsUse!L34*INDEX($B$7:$B$17,MATCH(L$38,$A$7:$A$17,0),1)</f>
        <v>0</v>
      </c>
      <c r="M46" s="57" t="e">
        <f t="shared" si="0"/>
        <v>#N/A</v>
      </c>
    </row>
    <row r="47" spans="1:13" x14ac:dyDescent="0.2">
      <c r="A47" s="39" t="str">
        <f>PlasticsUse!A35</f>
        <v>PVC</v>
      </c>
      <c r="B47" s="50">
        <f>PlasticsUse!B35*INDEX($B$7:$B$17,MATCH(B$38,$A$7:$A$17,0),1)</f>
        <v>6.3635206632606675E-2</v>
      </c>
      <c r="C47" s="50">
        <f>PlasticsUse!C35*INDEX($B$7:$B$17,MATCH(C$38,$A$7:$A$17,0),1)</f>
        <v>6.3635206632606675E-2</v>
      </c>
      <c r="D47" s="50">
        <f>PlasticsUse!D35*INDEX($B$7:$B$17,MATCH(D$38,$A$7:$A$17,0),1)</f>
        <v>4.5453719023290484E-2</v>
      </c>
      <c r="E47" s="50">
        <f>PlasticsUse!E35*INDEX($B$7:$B$17,MATCH(E$38,$A$7:$A$17,0),1)</f>
        <v>1.8181487609316194E-2</v>
      </c>
      <c r="F47" s="50">
        <f>PlasticsUse!F35*INDEX($B$7:$B$17,MATCH(F$38,$A$7:$A$17,0),1)</f>
        <v>1.8181487609316194E-2</v>
      </c>
      <c r="G47" s="50">
        <f>PlasticsUse!G35*INDEX($B$7:$B$17,MATCH(G$38,$A$7:$A$17,0),1)</f>
        <v>7.2725950437264777E-2</v>
      </c>
      <c r="H47" s="50" t="e">
        <f>PlasticsUse!H35*INDEX($B$7:$B$17,MATCH(H$38,$A$7:$A$17,0),1)</f>
        <v>#N/A</v>
      </c>
      <c r="I47" s="50">
        <f>PlasticsUse!I35*INDEX($B$7:$B$17,MATCH(I$38,$A$7:$A$17,0),1)</f>
        <v>0</v>
      </c>
      <c r="J47" s="50">
        <f>PlasticsUse!J35*INDEX($B$7:$B$17,MATCH(J$38,$A$7:$A$17,0),1)</f>
        <v>0</v>
      </c>
      <c r="K47" s="50">
        <f>PlasticsUse!K35*INDEX($B$7:$B$17,MATCH(K$38,$A$7:$A$17,0),1)</f>
        <v>9.0907438046580972E-3</v>
      </c>
      <c r="L47" s="50">
        <f>PlasticsUse!L35*INDEX($B$7:$B$17,MATCH(L$38,$A$7:$A$17,0),1)</f>
        <v>0</v>
      </c>
      <c r="M47" s="57" t="e">
        <f t="shared" si="0"/>
        <v>#N/A</v>
      </c>
    </row>
    <row r="48" spans="1:13" x14ac:dyDescent="0.2">
      <c r="A48" s="39" t="str">
        <f>PlasticsUse!A36</f>
        <v>PET</v>
      </c>
      <c r="B48" s="50">
        <f>PlasticsUse!B36*INDEX($B$7:$B$17,MATCH(B$38,$A$7:$A$17,0),1)</f>
        <v>0</v>
      </c>
      <c r="C48" s="50">
        <f>PlasticsUse!C36*INDEX($B$7:$B$17,MATCH(C$38,$A$7:$A$17,0),1)</f>
        <v>0</v>
      </c>
      <c r="D48" s="50">
        <f>PlasticsUse!D36*INDEX($B$7:$B$17,MATCH(D$38,$A$7:$A$17,0),1)</f>
        <v>0</v>
      </c>
      <c r="E48" s="50">
        <f>PlasticsUse!E36*INDEX($B$7:$B$17,MATCH(E$38,$A$7:$A$17,0),1)</f>
        <v>0</v>
      </c>
      <c r="F48" s="50">
        <f>PlasticsUse!F36*INDEX($B$7:$B$17,MATCH(F$38,$A$7:$A$17,0),1)</f>
        <v>0.16020000000000001</v>
      </c>
      <c r="G48" s="50">
        <f>PlasticsUse!G36*INDEX($B$7:$B$17,MATCH(G$38,$A$7:$A$17,0),1)</f>
        <v>0</v>
      </c>
      <c r="H48" s="50" t="e">
        <f>PlasticsUse!H36*INDEX($B$7:$B$17,MATCH(H$38,$A$7:$A$17,0),1)</f>
        <v>#N/A</v>
      </c>
      <c r="I48" s="50">
        <f>PlasticsUse!I36*INDEX($B$7:$B$17,MATCH(I$38,$A$7:$A$17,0),1)</f>
        <v>0</v>
      </c>
      <c r="J48" s="50">
        <f>PlasticsUse!J36*INDEX($B$7:$B$17,MATCH(J$38,$A$7:$A$17,0),1)</f>
        <v>0</v>
      </c>
      <c r="K48" s="50">
        <f>PlasticsUse!K36*INDEX($B$7:$B$17,MATCH(K$38,$A$7:$A$17,0),1)</f>
        <v>1.9900000000000001E-2</v>
      </c>
      <c r="L48" s="50">
        <f>PlasticsUse!L36*INDEX($B$7:$B$17,MATCH(L$38,$A$7:$A$17,0),1)</f>
        <v>0</v>
      </c>
      <c r="M48" s="57" t="e">
        <f t="shared" si="0"/>
        <v>#N/A</v>
      </c>
    </row>
    <row r="49" spans="1:13" x14ac:dyDescent="0.2">
      <c r="A49" s="39" t="str">
        <f>PlasticsUse!A37</f>
        <v>ABS</v>
      </c>
      <c r="B49" s="50">
        <f>PlasticsUse!B37*INDEX($B$7:$B$17,MATCH(B$38,$A$7:$A$17,0),1)</f>
        <v>3.4999999999999996E-2</v>
      </c>
      <c r="C49" s="50">
        <f>PlasticsUse!C37*INDEX($B$7:$B$17,MATCH(C$38,$A$7:$A$17,0),1)</f>
        <v>0</v>
      </c>
      <c r="D49" s="50">
        <f>PlasticsUse!D37*INDEX($B$7:$B$17,MATCH(D$38,$A$7:$A$17,0),1)</f>
        <v>8.2500000000000004E-2</v>
      </c>
      <c r="E49" s="50">
        <f>PlasticsUse!E37*INDEX($B$7:$B$17,MATCH(E$38,$A$7:$A$17,0),1)</f>
        <v>0</v>
      </c>
      <c r="F49" s="50">
        <f>PlasticsUse!F37*INDEX($B$7:$B$17,MATCH(F$38,$A$7:$A$17,0),1)</f>
        <v>0</v>
      </c>
      <c r="G49" s="50">
        <f>PlasticsUse!G37*INDEX($B$7:$B$17,MATCH(G$38,$A$7:$A$17,0),1)</f>
        <v>0.44000000000000006</v>
      </c>
      <c r="H49" s="50" t="e">
        <f>PlasticsUse!H37*INDEX($B$7:$B$17,MATCH(H$38,$A$7:$A$17,0),1)</f>
        <v>#N/A</v>
      </c>
      <c r="I49" s="50">
        <f>PlasticsUse!I37*INDEX($B$7:$B$17,MATCH(I$38,$A$7:$A$17,0),1)</f>
        <v>0</v>
      </c>
      <c r="J49" s="50">
        <f>PlasticsUse!J37*INDEX($B$7:$B$17,MATCH(J$38,$A$7:$A$17,0),1)</f>
        <v>0</v>
      </c>
      <c r="K49" s="50">
        <f>PlasticsUse!K37*INDEX($B$7:$B$17,MATCH(K$38,$A$7:$A$17,0),1)</f>
        <v>6.9999999999999845E-3</v>
      </c>
      <c r="L49" s="50">
        <f>PlasticsUse!L37*INDEX($B$7:$B$17,MATCH(L$38,$A$7:$A$17,0),1)</f>
        <v>0</v>
      </c>
      <c r="M49" s="57" t="e">
        <f t="shared" si="0"/>
        <v>#N/A</v>
      </c>
    </row>
    <row r="50" spans="1:13" x14ac:dyDescent="0.2">
      <c r="A50" s="39" t="str">
        <f>PlasticsUse!A38</f>
        <v>Polyester fiber</v>
      </c>
      <c r="B50" s="50">
        <f>PlasticsUse!B38*INDEX($B$7:$B$17,MATCH(B$38,$A$7:$A$17,0),1)</f>
        <v>0</v>
      </c>
      <c r="C50" s="50">
        <f>PlasticsUse!C38*INDEX($B$7:$B$17,MATCH(C$38,$A$7:$A$17,0),1)</f>
        <v>0.13999999999999999</v>
      </c>
      <c r="D50" s="50">
        <f>PlasticsUse!D38*INDEX($B$7:$B$17,MATCH(D$38,$A$7:$A$17,0),1)</f>
        <v>0</v>
      </c>
      <c r="E50" s="50">
        <f>PlasticsUse!E38*INDEX($B$7:$B$17,MATCH(E$38,$A$7:$A$17,0),1)</f>
        <v>2.0000000000000004E-2</v>
      </c>
      <c r="F50" s="50">
        <f>PlasticsUse!F38*INDEX($B$7:$B$17,MATCH(F$38,$A$7:$A$17,0),1)</f>
        <v>0</v>
      </c>
      <c r="G50" s="50">
        <f>PlasticsUse!G38*INDEX($B$7:$B$17,MATCH(G$38,$A$7:$A$17,0),1)</f>
        <v>0</v>
      </c>
      <c r="H50" s="50" t="e">
        <f>PlasticsUse!H38*INDEX($B$7:$B$17,MATCH(H$38,$A$7:$A$17,0),1)</f>
        <v>#N/A</v>
      </c>
      <c r="I50" s="50">
        <f>PlasticsUse!I38*INDEX($B$7:$B$17,MATCH(I$38,$A$7:$A$17,0),1)</f>
        <v>0</v>
      </c>
      <c r="J50" s="50">
        <f>PlasticsUse!J38*INDEX($B$7:$B$17,MATCH(J$38,$A$7:$A$17,0),1)</f>
        <v>6.5000000000000002E-2</v>
      </c>
      <c r="K50" s="50">
        <f>PlasticsUse!K38*INDEX($B$7:$B$17,MATCH(K$38,$A$7:$A$17,0),1)</f>
        <v>0</v>
      </c>
      <c r="L50" s="50">
        <f>PlasticsUse!L38*INDEX($B$7:$B$17,MATCH(L$38,$A$7:$A$17,0),1)</f>
        <v>0</v>
      </c>
      <c r="M50" s="57" t="e">
        <f t="shared" si="0"/>
        <v>#N/A</v>
      </c>
    </row>
    <row r="51" spans="1:13" x14ac:dyDescent="0.2">
      <c r="A51" s="39" t="str">
        <f>PlasticsUse!A39</f>
        <v>Polyamide nylon</v>
      </c>
      <c r="B51" s="50">
        <f>PlasticsUse!B39*INDEX($B$7:$B$17,MATCH(B$38,$A$7:$A$17,0),1)</f>
        <v>0</v>
      </c>
      <c r="C51" s="50">
        <f>PlasticsUse!C39*INDEX($B$7:$B$17,MATCH(C$38,$A$7:$A$17,0),1)</f>
        <v>0</v>
      </c>
      <c r="D51" s="50">
        <f>PlasticsUse!D39*INDEX($B$7:$B$17,MATCH(D$38,$A$7:$A$17,0),1)</f>
        <v>0</v>
      </c>
      <c r="E51" s="50">
        <f>PlasticsUse!E39*INDEX($B$7:$B$17,MATCH(E$38,$A$7:$A$17,0),1)</f>
        <v>0</v>
      </c>
      <c r="F51" s="50">
        <f>PlasticsUse!F39*INDEX($B$7:$B$17,MATCH(F$38,$A$7:$A$17,0),1)</f>
        <v>0</v>
      </c>
      <c r="G51" s="50">
        <f>PlasticsUse!G39*INDEX($B$7:$B$17,MATCH(G$38,$A$7:$A$17,0),1)</f>
        <v>0</v>
      </c>
      <c r="H51" s="50" t="e">
        <f>PlasticsUse!H39*INDEX($B$7:$B$17,MATCH(H$38,$A$7:$A$17,0),1)</f>
        <v>#N/A</v>
      </c>
      <c r="I51" s="50">
        <f>PlasticsUse!I39*INDEX($B$7:$B$17,MATCH(I$38,$A$7:$A$17,0),1)</f>
        <v>0</v>
      </c>
      <c r="J51" s="50">
        <f>PlasticsUse!J39*INDEX($B$7:$B$17,MATCH(J$38,$A$7:$A$17,0),1)</f>
        <v>0</v>
      </c>
      <c r="K51" s="50">
        <f>PlasticsUse!K39*INDEX($B$7:$B$17,MATCH(K$38,$A$7:$A$17,0),1)</f>
        <v>0.1</v>
      </c>
      <c r="L51" s="50">
        <f>PlasticsUse!L39*INDEX($B$7:$B$17,MATCH(L$38,$A$7:$A$17,0),1)</f>
        <v>0</v>
      </c>
      <c r="M51" s="57" t="e">
        <f t="shared" si="0"/>
        <v>#N/A</v>
      </c>
    </row>
    <row r="52" spans="1:13" x14ac:dyDescent="0.2">
      <c r="A52" s="39" t="str">
        <f>PlasticsUse!A40</f>
        <v>Polycarbonate</v>
      </c>
      <c r="B52" s="50">
        <f>PlasticsUse!B40*INDEX($B$7:$B$17,MATCH(B$38,$A$7:$A$17,0),1)</f>
        <v>0.13999999999999999</v>
      </c>
      <c r="C52" s="50">
        <f>PlasticsUse!C40*INDEX($B$7:$B$17,MATCH(C$38,$A$7:$A$17,0),1)</f>
        <v>0</v>
      </c>
      <c r="D52" s="50">
        <f>PlasticsUse!D40*INDEX($B$7:$B$17,MATCH(D$38,$A$7:$A$17,0),1)</f>
        <v>0.1</v>
      </c>
      <c r="E52" s="50">
        <f>PlasticsUse!E40*INDEX($B$7:$B$17,MATCH(E$38,$A$7:$A$17,0),1)</f>
        <v>0</v>
      </c>
      <c r="F52" s="50">
        <f>PlasticsUse!F40*INDEX($B$7:$B$17,MATCH(F$38,$A$7:$A$17,0),1)</f>
        <v>1.0000000000000002E-2</v>
      </c>
      <c r="G52" s="50">
        <f>PlasticsUse!G40*INDEX($B$7:$B$17,MATCH(G$38,$A$7:$A$17,0),1)</f>
        <v>0.2</v>
      </c>
      <c r="H52" s="50" t="e">
        <f>PlasticsUse!H40*INDEX($B$7:$B$17,MATCH(H$38,$A$7:$A$17,0),1)</f>
        <v>#N/A</v>
      </c>
      <c r="I52" s="50">
        <f>PlasticsUse!I40*INDEX($B$7:$B$17,MATCH(I$38,$A$7:$A$17,0),1)</f>
        <v>0</v>
      </c>
      <c r="J52" s="50">
        <f>PlasticsUse!J40*INDEX($B$7:$B$17,MATCH(J$38,$A$7:$A$17,0),1)</f>
        <v>0</v>
      </c>
      <c r="K52" s="50">
        <f>PlasticsUse!K40*INDEX($B$7:$B$17,MATCH(K$38,$A$7:$A$17,0),1)</f>
        <v>2.5000000000000001E-2</v>
      </c>
      <c r="L52" s="50">
        <f>PlasticsUse!L40*INDEX($B$7:$B$17,MATCH(L$38,$A$7:$A$17,0),1)</f>
        <v>0</v>
      </c>
      <c r="M52" s="57" t="e">
        <f t="shared" si="0"/>
        <v>#N/A</v>
      </c>
    </row>
    <row r="53" spans="1:13" x14ac:dyDescent="0.2">
      <c r="A53" s="39" t="str">
        <f>PlasticsUse!A41</f>
        <v>Styrene butadiene rubber</v>
      </c>
      <c r="B53" s="50">
        <f>PlasticsUse!B41*INDEX($B$7:$B$17,MATCH(B$38,$A$7:$A$17,0),1)</f>
        <v>0</v>
      </c>
      <c r="C53" s="50">
        <f>PlasticsUse!C41*INDEX($B$7:$B$17,MATCH(C$38,$A$7:$A$17,0),1)</f>
        <v>0</v>
      </c>
      <c r="D53" s="50">
        <f>PlasticsUse!D41*INDEX($B$7:$B$17,MATCH(D$38,$A$7:$A$17,0),1)</f>
        <v>0.40300000000000002</v>
      </c>
      <c r="E53" s="50">
        <f>PlasticsUse!E41*INDEX($B$7:$B$17,MATCH(E$38,$A$7:$A$17,0),1)</f>
        <v>0</v>
      </c>
      <c r="F53" s="50">
        <f>PlasticsUse!F41*INDEX($B$7:$B$17,MATCH(F$38,$A$7:$A$17,0),1)</f>
        <v>0</v>
      </c>
      <c r="G53" s="50">
        <f>PlasticsUse!G41*INDEX($B$7:$B$17,MATCH(G$38,$A$7:$A$17,0),1)</f>
        <v>0</v>
      </c>
      <c r="H53" s="50" t="e">
        <f>PlasticsUse!H41*INDEX($B$7:$B$17,MATCH(H$38,$A$7:$A$17,0),1)</f>
        <v>#N/A</v>
      </c>
      <c r="I53" s="50">
        <f>PlasticsUse!I41*INDEX($B$7:$B$17,MATCH(I$38,$A$7:$A$17,0),1)</f>
        <v>0</v>
      </c>
      <c r="J53" s="50">
        <f>PlasticsUse!J41*INDEX($B$7:$B$17,MATCH(J$38,$A$7:$A$17,0),1)</f>
        <v>1.2E-2</v>
      </c>
      <c r="K53" s="50">
        <f>PlasticsUse!K41*INDEX($B$7:$B$17,MATCH(K$38,$A$7:$A$17,0),1)</f>
        <v>3.9999999999998929E-4</v>
      </c>
      <c r="L53" s="50">
        <f>PlasticsUse!L41*INDEX($B$7:$B$17,MATCH(L$38,$A$7:$A$17,0),1)</f>
        <v>0</v>
      </c>
      <c r="M53" s="57" t="e">
        <f t="shared" si="0"/>
        <v>#N/A</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8FEA90AD-33EB-C142-880B-6D7CDD16B4C6}">
          <x14:formula1>
            <xm:f>Conversions!$A$12:$A$13</xm:f>
          </x14:formula1>
          <xm:sqref>B4</xm:sqref>
        </x14:dataValidation>
      </x14:dataValidations>
    </ext>
  </extLst>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755CF0-14D9-6543-AFD5-2771BD39EE8E}">
  <dimension ref="A1:I264"/>
  <sheetViews>
    <sheetView topLeftCell="A129" workbookViewId="0">
      <selection activeCell="G169" sqref="G169"/>
    </sheetView>
  </sheetViews>
  <sheetFormatPr baseColWidth="10" defaultRowHeight="16" x14ac:dyDescent="0.2"/>
  <cols>
    <col min="1" max="1" width="27.6640625" customWidth="1"/>
    <col min="2" max="2" width="28.1640625" customWidth="1"/>
    <col min="3" max="3" width="22" customWidth="1"/>
  </cols>
  <sheetData>
    <row r="1" spans="1:7" ht="21" x14ac:dyDescent="0.25">
      <c r="A1" s="19" t="s">
        <v>338</v>
      </c>
    </row>
    <row r="2" spans="1:7" x14ac:dyDescent="0.2">
      <c r="G2" s="20" t="s">
        <v>203</v>
      </c>
    </row>
    <row r="3" spans="1:7" x14ac:dyDescent="0.2">
      <c r="A3" s="2" t="s">
        <v>76</v>
      </c>
      <c r="B3" s="2" t="s">
        <v>83</v>
      </c>
      <c r="C3" s="2" t="s">
        <v>118</v>
      </c>
      <c r="D3" s="2" t="s">
        <v>117</v>
      </c>
      <c r="E3" s="2" t="s">
        <v>119</v>
      </c>
      <c r="F3" s="2" t="s">
        <v>116</v>
      </c>
      <c r="G3" s="2" t="s">
        <v>120</v>
      </c>
    </row>
    <row r="4" spans="1:7" x14ac:dyDescent="0.2">
      <c r="A4" t="s">
        <v>0</v>
      </c>
      <c r="B4" t="s">
        <v>38</v>
      </c>
      <c r="F4" t="s">
        <v>4</v>
      </c>
    </row>
    <row r="5" spans="1:7" x14ac:dyDescent="0.2">
      <c r="A5" t="s">
        <v>0</v>
      </c>
      <c r="B5" t="s">
        <v>99</v>
      </c>
      <c r="F5" t="s">
        <v>4</v>
      </c>
    </row>
    <row r="6" spans="1:7" x14ac:dyDescent="0.2">
      <c r="A6" t="s">
        <v>0</v>
      </c>
      <c r="B6" t="s">
        <v>69</v>
      </c>
      <c r="F6" t="s">
        <v>4</v>
      </c>
    </row>
    <row r="7" spans="1:7" x14ac:dyDescent="0.2">
      <c r="A7" t="s">
        <v>0</v>
      </c>
      <c r="B7" t="s">
        <v>100</v>
      </c>
      <c r="F7" t="s">
        <v>4</v>
      </c>
    </row>
    <row r="8" spans="1:7" x14ac:dyDescent="0.2">
      <c r="A8" t="s">
        <v>0</v>
      </c>
      <c r="B8" t="s">
        <v>39</v>
      </c>
      <c r="F8" t="s">
        <v>4</v>
      </c>
    </row>
    <row r="9" spans="1:7" x14ac:dyDescent="0.2">
      <c r="A9" t="s">
        <v>0</v>
      </c>
      <c r="B9" t="s">
        <v>68</v>
      </c>
      <c r="F9" t="s">
        <v>4</v>
      </c>
    </row>
    <row r="10" spans="1:7" x14ac:dyDescent="0.2">
      <c r="A10" t="s">
        <v>0</v>
      </c>
      <c r="B10" t="s">
        <v>91</v>
      </c>
      <c r="F10" t="s">
        <v>4</v>
      </c>
    </row>
    <row r="11" spans="1:7" x14ac:dyDescent="0.2">
      <c r="A11" t="s">
        <v>0</v>
      </c>
      <c r="B11" t="s">
        <v>92</v>
      </c>
      <c r="F11" t="s">
        <v>4</v>
      </c>
    </row>
    <row r="12" spans="1:7" x14ac:dyDescent="0.2">
      <c r="A12" t="s">
        <v>0</v>
      </c>
      <c r="B12" t="s">
        <v>103</v>
      </c>
      <c r="F12" t="s">
        <v>4</v>
      </c>
    </row>
    <row r="13" spans="1:7" x14ac:dyDescent="0.2">
      <c r="A13" t="s">
        <v>0</v>
      </c>
      <c r="B13" t="s">
        <v>86</v>
      </c>
      <c r="C13" s="11">
        <f>EndOfLife!B6</f>
        <v>1.8181818181818181E-2</v>
      </c>
      <c r="F13" t="s">
        <v>4</v>
      </c>
      <c r="G13" s="11">
        <f>EndOfLife!C6</f>
        <v>1.6363636363636365E-2</v>
      </c>
    </row>
    <row r="14" spans="1:7" x14ac:dyDescent="0.2">
      <c r="A14" t="s">
        <v>0</v>
      </c>
      <c r="B14" t="s">
        <v>18</v>
      </c>
      <c r="F14" t="s">
        <v>4</v>
      </c>
    </row>
    <row r="15" spans="1:7" x14ac:dyDescent="0.2">
      <c r="A15" t="s">
        <v>0</v>
      </c>
      <c r="B15" t="s">
        <v>38</v>
      </c>
      <c r="F15" t="s">
        <v>6</v>
      </c>
    </row>
    <row r="16" spans="1:7" x14ac:dyDescent="0.2">
      <c r="A16" t="s">
        <v>0</v>
      </c>
      <c r="B16" t="s">
        <v>99</v>
      </c>
      <c r="F16" t="s">
        <v>6</v>
      </c>
    </row>
    <row r="17" spans="1:7" x14ac:dyDescent="0.2">
      <c r="A17" t="s">
        <v>0</v>
      </c>
      <c r="B17" t="s">
        <v>69</v>
      </c>
      <c r="F17" t="s">
        <v>6</v>
      </c>
    </row>
    <row r="18" spans="1:7" x14ac:dyDescent="0.2">
      <c r="A18" t="s">
        <v>0</v>
      </c>
      <c r="B18" t="s">
        <v>100</v>
      </c>
      <c r="F18" t="s">
        <v>6</v>
      </c>
    </row>
    <row r="19" spans="1:7" x14ac:dyDescent="0.2">
      <c r="A19" t="s">
        <v>0</v>
      </c>
      <c r="B19" t="s">
        <v>39</v>
      </c>
      <c r="F19" t="s">
        <v>6</v>
      </c>
    </row>
    <row r="20" spans="1:7" x14ac:dyDescent="0.2">
      <c r="A20" t="s">
        <v>0</v>
      </c>
      <c r="B20" t="s">
        <v>68</v>
      </c>
      <c r="F20" t="s">
        <v>6</v>
      </c>
    </row>
    <row r="21" spans="1:7" x14ac:dyDescent="0.2">
      <c r="A21" t="s">
        <v>0</v>
      </c>
      <c r="B21" t="s">
        <v>91</v>
      </c>
      <c r="F21" t="s">
        <v>6</v>
      </c>
    </row>
    <row r="22" spans="1:7" x14ac:dyDescent="0.2">
      <c r="A22" t="s">
        <v>0</v>
      </c>
      <c r="B22" t="s">
        <v>92</v>
      </c>
      <c r="F22" t="s">
        <v>6</v>
      </c>
    </row>
    <row r="23" spans="1:7" x14ac:dyDescent="0.2">
      <c r="A23" t="s">
        <v>0</v>
      </c>
      <c r="B23" t="s">
        <v>103</v>
      </c>
      <c r="F23" t="s">
        <v>6</v>
      </c>
    </row>
    <row r="24" spans="1:7" x14ac:dyDescent="0.2">
      <c r="A24" t="s">
        <v>0</v>
      </c>
      <c r="B24" t="s">
        <v>86</v>
      </c>
      <c r="C24" s="11"/>
      <c r="F24" t="s">
        <v>6</v>
      </c>
      <c r="G24" s="11">
        <f>EndOfLife!I6</f>
        <v>0</v>
      </c>
    </row>
    <row r="25" spans="1:7" x14ac:dyDescent="0.2">
      <c r="A25" t="s">
        <v>0</v>
      </c>
      <c r="B25" t="s">
        <v>18</v>
      </c>
      <c r="F25" t="s">
        <v>6</v>
      </c>
    </row>
    <row r="26" spans="1:7" x14ac:dyDescent="0.2">
      <c r="A26" t="s">
        <v>2</v>
      </c>
      <c r="B26" t="s">
        <v>38</v>
      </c>
      <c r="C26" s="11">
        <f>INDEX(PlasticsUse!$B$94:$L$111,MATCH('CompilationCalcs - EPA EOL'!$A26,PlasticsUse!$A$94:$A$108,0),MATCH('CompilationCalcs - EPA EOL'!$B26,PlasticsUse!$B$93:$L$93,0))</f>
        <v>0</v>
      </c>
      <c r="F26" t="s">
        <v>4</v>
      </c>
      <c r="G26" s="11">
        <f>INDEX(EndOfLife!$B$6:$E$14,MATCH($A26,EndOfLife!$A$6:$A$14,0),MATCH($F26,EndOfLife!$B$5:$E$5,0))*INDEX(PlasticsUse!$B$27:$L$41,MATCH('CompilationCalcs - EPA EOL'!$A26,PlasticsUse!$A$27:$A$41,0),MATCH('CompilationCalcs - EPA EOL'!$B26,PlasticsUse!$B$26:$L$26,0))</f>
        <v>0</v>
      </c>
    </row>
    <row r="27" spans="1:7" x14ac:dyDescent="0.2">
      <c r="A27" t="s">
        <v>2</v>
      </c>
      <c r="B27" t="s">
        <v>99</v>
      </c>
      <c r="C27" s="11">
        <f>INDEX(PlasticsUse!$B$94:$L$111,MATCH('CompilationCalcs - EPA EOL'!$A27,PlasticsUse!$A$94:$A$108,0),MATCH('CompilationCalcs - EPA EOL'!$B27,PlasticsUse!$B$93:$L$93,0))</f>
        <v>0</v>
      </c>
      <c r="F27" t="s">
        <v>4</v>
      </c>
      <c r="G27" s="11">
        <f>INDEX(EndOfLife!$B$6:$E$14,MATCH($A27,EndOfLife!$A$6:$A$14,0),MATCH($F27,EndOfLife!$B$5:$E$5,0))*INDEX(PlasticsUse!$B$27:$L$41,MATCH('CompilationCalcs - EPA EOL'!$A27,PlasticsUse!$A$27:$A$41,0),MATCH('CompilationCalcs - EPA EOL'!$B27,PlasticsUse!$B$26:$L$26,0))</f>
        <v>0</v>
      </c>
    </row>
    <row r="28" spans="1:7" x14ac:dyDescent="0.2">
      <c r="A28" t="s">
        <v>2</v>
      </c>
      <c r="B28" t="s">
        <v>69</v>
      </c>
      <c r="C28" s="11">
        <f>INDEX(PlasticsUse!$B$94:$L$111,MATCH('CompilationCalcs - EPA EOL'!$A28,PlasticsUse!$A$94:$A$108,0),MATCH('CompilationCalcs - EPA EOL'!$B28,PlasticsUse!$B$93:$L$93,0))</f>
        <v>0</v>
      </c>
      <c r="F28" t="s">
        <v>4</v>
      </c>
      <c r="G28" s="11">
        <f>INDEX(EndOfLife!$B$6:$E$14,MATCH($A28,EndOfLife!$A$6:$A$14,0),MATCH($F28,EndOfLife!$B$5:$E$5,0))*INDEX(PlasticsUse!$B$27:$L$41,MATCH('CompilationCalcs - EPA EOL'!$A28,PlasticsUse!$A$27:$A$41,0),MATCH('CompilationCalcs - EPA EOL'!$B28,PlasticsUse!$B$26:$L$26,0))</f>
        <v>0</v>
      </c>
    </row>
    <row r="29" spans="1:7" x14ac:dyDescent="0.2">
      <c r="A29" t="s">
        <v>2</v>
      </c>
      <c r="B29" t="s">
        <v>100</v>
      </c>
      <c r="C29" s="11">
        <f>INDEX(PlasticsUse!$B$94:$L$111,MATCH('CompilationCalcs - EPA EOL'!$A29,PlasticsUse!$A$94:$A$108,0),MATCH('CompilationCalcs - EPA EOL'!$B29,PlasticsUse!$B$93:$L$93,0))</f>
        <v>0</v>
      </c>
      <c r="F29" t="s">
        <v>4</v>
      </c>
      <c r="G29" s="11">
        <f>INDEX(EndOfLife!$B$6:$E$14,MATCH($A29,EndOfLife!$A$6:$A$14,0),MATCH($F29,EndOfLife!$B$5:$E$5,0))*INDEX(PlasticsUse!$B$27:$L$41,MATCH('CompilationCalcs - EPA EOL'!$A29,PlasticsUse!$A$27:$A$41,0),MATCH('CompilationCalcs - EPA EOL'!$B29,PlasticsUse!$B$26:$L$26,0))</f>
        <v>0</v>
      </c>
    </row>
    <row r="30" spans="1:7" x14ac:dyDescent="0.2">
      <c r="A30" t="s">
        <v>2</v>
      </c>
      <c r="B30" t="s">
        <v>39</v>
      </c>
      <c r="C30" s="11">
        <f>INDEX(PlasticsUse!$B$94:$L$111,MATCH('CompilationCalcs - EPA EOL'!$A30,PlasticsUse!$A$94:$A$108,0),MATCH('CompilationCalcs - EPA EOL'!$B30,PlasticsUse!$B$93:$L$93,0))</f>
        <v>3.2465749419924261</v>
      </c>
      <c r="F30" t="s">
        <v>4</v>
      </c>
      <c r="G30" s="11">
        <f>INDEX(EndOfLife!$B$6:$E$14,MATCH($A30,EndOfLife!$A$6:$A$14,0),MATCH($F30,EndOfLife!$B$5:$E$5,0))*INDEX(PlasticsUse!$B$27:$L$41,MATCH('CompilationCalcs - EPA EOL'!$A30,PlasticsUse!$A$27:$A$41,0),MATCH('CompilationCalcs - EPA EOL'!$B30,PlasticsUse!$B$26:$L$26,0))</f>
        <v>0.71361818181818171</v>
      </c>
    </row>
    <row r="31" spans="1:7" x14ac:dyDescent="0.2">
      <c r="A31" t="s">
        <v>2</v>
      </c>
      <c r="B31" t="s">
        <v>68</v>
      </c>
      <c r="C31" s="11">
        <f>INDEX(PlasticsUse!$B$94:$L$111,MATCH('CompilationCalcs - EPA EOL'!$A31,PlasticsUse!$A$94:$A$108,0),MATCH('CompilationCalcs - EPA EOL'!$B31,PlasticsUse!$B$93:$L$93,0))</f>
        <v>0</v>
      </c>
      <c r="F31" t="s">
        <v>4</v>
      </c>
      <c r="G31" s="11">
        <f>INDEX(EndOfLife!$B$6:$E$14,MATCH($A31,EndOfLife!$A$6:$A$14,0),MATCH($F31,EndOfLife!$B$5:$E$5,0))*INDEX(PlasticsUse!$B$27:$L$41,MATCH('CompilationCalcs - EPA EOL'!$A31,PlasticsUse!$A$27:$A$41,0),MATCH('CompilationCalcs - EPA EOL'!$B31,PlasticsUse!$B$26:$L$26,0))</f>
        <v>0</v>
      </c>
    </row>
    <row r="32" spans="1:7" x14ac:dyDescent="0.2">
      <c r="A32" t="s">
        <v>2</v>
      </c>
      <c r="B32" t="s">
        <v>91</v>
      </c>
      <c r="C32" s="11" t="e">
        <f>INDEX(PlasticsUse!$B$94:$L$111,MATCH('CompilationCalcs - EPA EOL'!$A32,PlasticsUse!$A$94:$A$108,0),MATCH('CompilationCalcs - EPA EOL'!$B32,PlasticsUse!$B$93:$L$93,0))</f>
        <v>#N/A</v>
      </c>
      <c r="F32" t="s">
        <v>4</v>
      </c>
      <c r="G32" s="11" t="e">
        <f>INDEX(EndOfLife!$B$6:$E$14,MATCH($A32,EndOfLife!$A$6:$A$14,0),MATCH($F32,EndOfLife!$B$5:$E$5,0))*INDEX(PlasticsUse!$B$27:$L$41,MATCH('CompilationCalcs - EPA EOL'!$A32,PlasticsUse!$A$27:$A$41,0),MATCH('CompilationCalcs - EPA EOL'!$B32,PlasticsUse!$B$26:$L$26,0))</f>
        <v>#N/A</v>
      </c>
    </row>
    <row r="33" spans="1:7" x14ac:dyDescent="0.2">
      <c r="A33" t="s">
        <v>2</v>
      </c>
      <c r="B33" t="s">
        <v>92</v>
      </c>
      <c r="C33" s="11">
        <f>INDEX(PlasticsUse!$B$94:$L$111,MATCH('CompilationCalcs - EPA EOL'!$A33,PlasticsUse!$A$94:$A$108,0),MATCH('CompilationCalcs - EPA EOL'!$B33,PlasticsUse!$B$93:$L$93,0))</f>
        <v>0</v>
      </c>
      <c r="F33" t="s">
        <v>4</v>
      </c>
      <c r="G33" s="11">
        <f>INDEX(EndOfLife!$B$6:$E$14,MATCH($A33,EndOfLife!$A$6:$A$14,0),MATCH($F33,EndOfLife!$B$5:$E$5,0))*INDEX(PlasticsUse!$B$27:$L$41,MATCH('CompilationCalcs - EPA EOL'!$A33,PlasticsUse!$A$27:$A$41,0),MATCH('CompilationCalcs - EPA EOL'!$B33,PlasticsUse!$B$26:$L$26,0))</f>
        <v>0</v>
      </c>
    </row>
    <row r="34" spans="1:7" x14ac:dyDescent="0.2">
      <c r="A34" t="s">
        <v>2</v>
      </c>
      <c r="B34" t="s">
        <v>103</v>
      </c>
      <c r="C34" s="11">
        <f>INDEX(PlasticsUse!$B$94:$L$111,MATCH('CompilationCalcs - EPA EOL'!$A34,PlasticsUse!$A$94:$A$108,0),MATCH('CompilationCalcs - EPA EOL'!$B34,PlasticsUse!$B$93:$L$93,0))</f>
        <v>0</v>
      </c>
      <c r="F34" t="s">
        <v>4</v>
      </c>
      <c r="G34" s="11">
        <f>INDEX(EndOfLife!$B$6:$E$14,MATCH($A34,EndOfLife!$A$6:$A$14,0),MATCH($F34,EndOfLife!$B$5:$E$5,0))*INDEX(PlasticsUse!$B$27:$L$41,MATCH('CompilationCalcs - EPA EOL'!$A34,PlasticsUse!$A$27:$A$41,0),MATCH('CompilationCalcs - EPA EOL'!$B34,PlasticsUse!$B$26:$L$26,0))</f>
        <v>0</v>
      </c>
    </row>
    <row r="35" spans="1:7" x14ac:dyDescent="0.2">
      <c r="A35" t="s">
        <v>2</v>
      </c>
      <c r="B35" t="s">
        <v>86</v>
      </c>
      <c r="C35" s="11">
        <f>INDEX(PlasticsUse!$B$94:$L$111,MATCH('CompilationCalcs - EPA EOL'!$A35,PlasticsUse!$A$94:$A$108,0),MATCH('CompilationCalcs - EPA EOL'!$B35,PlasticsUse!$B$93:$L$93,0))</f>
        <v>0.67706639132960889</v>
      </c>
      <c r="F35" t="s">
        <v>4</v>
      </c>
      <c r="G35" s="11">
        <f>INDEX(EndOfLife!$B$6:$E$14,MATCH($A35,EndOfLife!$A$6:$A$14,0),MATCH($F35,EndOfLife!$B$5:$E$5,0))*INDEX(PlasticsUse!$B$27:$L$41,MATCH('CompilationCalcs - EPA EOL'!$A35,PlasticsUse!$A$27:$A$41,0),MATCH('CompilationCalcs - EPA EOL'!$B35,PlasticsUse!$B$26:$L$26,0))</f>
        <v>0.17729090909090905</v>
      </c>
    </row>
    <row r="36" spans="1:7" x14ac:dyDescent="0.2">
      <c r="A36" t="s">
        <v>2</v>
      </c>
      <c r="B36" t="s">
        <v>18</v>
      </c>
      <c r="C36" s="11">
        <f>INDEX(PlasticsUse!$B$94:$L$111,MATCH('CompilationCalcs - EPA EOL'!$A36,PlasticsUse!$A$94:$A$108,0),MATCH('CompilationCalcs - EPA EOL'!$B36,PlasticsUse!$B$93:$L$93,0))</f>
        <v>0</v>
      </c>
      <c r="F36" t="s">
        <v>4</v>
      </c>
      <c r="G36" s="11">
        <f>INDEX(EndOfLife!$B$6:$E$14,MATCH($A36,EndOfLife!$A$6:$A$14,0),MATCH($F36,EndOfLife!$B$5:$E$5,0))*INDEX(PlasticsUse!$B$27:$L$41,MATCH('CompilationCalcs - EPA EOL'!$A36,PlasticsUse!$A$27:$A$41,0),MATCH('CompilationCalcs - EPA EOL'!$B36,PlasticsUse!$B$26:$L$26,0))</f>
        <v>0</v>
      </c>
    </row>
    <row r="37" spans="1:7" x14ac:dyDescent="0.2">
      <c r="A37" t="s">
        <v>2</v>
      </c>
      <c r="B37" t="s">
        <v>38</v>
      </c>
      <c r="C37" s="11"/>
      <c r="F37" t="s">
        <v>5</v>
      </c>
      <c r="G37" s="11">
        <f>INDEX(EndOfLife!$B$6:$E$14,MATCH($A37,EndOfLife!$A$6:$A$14,0),MATCH($F37,EndOfLife!$B$5:$E$5,0))*INDEX(PlasticsUse!$B$27:$L$41,MATCH('CompilationCalcs - EPA EOL'!$A37,PlasticsUse!$A$27:$A$41,0),MATCH('CompilationCalcs - EPA EOL'!$B37,PlasticsUse!$B$26:$L$26,0))</f>
        <v>0</v>
      </c>
    </row>
    <row r="38" spans="1:7" x14ac:dyDescent="0.2">
      <c r="A38" t="s">
        <v>2</v>
      </c>
      <c r="B38" t="s">
        <v>99</v>
      </c>
      <c r="C38" s="11"/>
      <c r="F38" t="s">
        <v>5</v>
      </c>
      <c r="G38" s="11">
        <f>INDEX(EndOfLife!$B$6:$E$14,MATCH($A38,EndOfLife!$A$6:$A$14,0),MATCH($F38,EndOfLife!$B$5:$E$5,0))*INDEX(PlasticsUse!$B$27:$L$41,MATCH('CompilationCalcs - EPA EOL'!$A38,PlasticsUse!$A$27:$A$41,0),MATCH('CompilationCalcs - EPA EOL'!$B38,PlasticsUse!$B$26:$L$26,0))</f>
        <v>0</v>
      </c>
    </row>
    <row r="39" spans="1:7" x14ac:dyDescent="0.2">
      <c r="A39" t="s">
        <v>2</v>
      </c>
      <c r="B39" t="s">
        <v>69</v>
      </c>
      <c r="C39" s="11"/>
      <c r="F39" t="s">
        <v>5</v>
      </c>
      <c r="G39" s="11">
        <f>INDEX(EndOfLife!$B$6:$E$14,MATCH($A39,EndOfLife!$A$6:$A$14,0),MATCH($F39,EndOfLife!$B$5:$E$5,0))*INDEX(PlasticsUse!$B$27:$L$41,MATCH('CompilationCalcs - EPA EOL'!$A39,PlasticsUse!$A$27:$A$41,0),MATCH('CompilationCalcs - EPA EOL'!$B39,PlasticsUse!$B$26:$L$26,0))</f>
        <v>0</v>
      </c>
    </row>
    <row r="40" spans="1:7" x14ac:dyDescent="0.2">
      <c r="A40" t="s">
        <v>2</v>
      </c>
      <c r="B40" t="s">
        <v>100</v>
      </c>
      <c r="C40" s="11"/>
      <c r="F40" t="s">
        <v>5</v>
      </c>
      <c r="G40" s="11">
        <f>INDEX(EndOfLife!$B$6:$E$14,MATCH($A40,EndOfLife!$A$6:$A$14,0),MATCH($F40,EndOfLife!$B$5:$E$5,0))*INDEX(PlasticsUse!$B$27:$L$41,MATCH('CompilationCalcs - EPA EOL'!$A40,PlasticsUse!$A$27:$A$41,0),MATCH('CompilationCalcs - EPA EOL'!$B40,PlasticsUse!$B$26:$L$26,0))</f>
        <v>0</v>
      </c>
    </row>
    <row r="41" spans="1:7" x14ac:dyDescent="0.2">
      <c r="A41" t="s">
        <v>2</v>
      </c>
      <c r="B41" t="s">
        <v>39</v>
      </c>
      <c r="C41" s="11"/>
      <c r="F41" t="s">
        <v>5</v>
      </c>
      <c r="G41" s="11">
        <f>INDEX(EndOfLife!$B$6:$E$14,MATCH($A41,EndOfLife!$A$6:$A$14,0),MATCH($F41,EndOfLife!$B$5:$E$5,0))*INDEX(PlasticsUse!$B$27:$L$41,MATCH('CompilationCalcs - EPA EOL'!$A41,PlasticsUse!$A$27:$A$41,0),MATCH('CompilationCalcs - EPA EOL'!$B41,PlasticsUse!$B$26:$L$26,0))</f>
        <v>0.32040000000000002</v>
      </c>
    </row>
    <row r="42" spans="1:7" x14ac:dyDescent="0.2">
      <c r="A42" t="s">
        <v>2</v>
      </c>
      <c r="B42" t="s">
        <v>68</v>
      </c>
      <c r="C42" s="11"/>
      <c r="F42" t="s">
        <v>5</v>
      </c>
      <c r="G42" s="11">
        <f>INDEX(EndOfLife!$B$6:$E$14,MATCH($A42,EndOfLife!$A$6:$A$14,0),MATCH($F42,EndOfLife!$B$5:$E$5,0))*INDEX(PlasticsUse!$B$27:$L$41,MATCH('CompilationCalcs - EPA EOL'!$A42,PlasticsUse!$A$27:$A$41,0),MATCH('CompilationCalcs - EPA EOL'!$B42,PlasticsUse!$B$26:$L$26,0))</f>
        <v>0</v>
      </c>
    </row>
    <row r="43" spans="1:7" x14ac:dyDescent="0.2">
      <c r="A43" t="s">
        <v>2</v>
      </c>
      <c r="B43" t="s">
        <v>91</v>
      </c>
      <c r="C43" s="11"/>
      <c r="F43" t="s">
        <v>5</v>
      </c>
      <c r="G43" s="11" t="e">
        <f>INDEX(EndOfLife!$B$6:$E$14,MATCH($A43,EndOfLife!$A$6:$A$14,0),MATCH($F43,EndOfLife!$B$5:$E$5,0))*INDEX(PlasticsUse!$B$27:$L$41,MATCH('CompilationCalcs - EPA EOL'!$A43,PlasticsUse!$A$27:$A$41,0),MATCH('CompilationCalcs - EPA EOL'!$B43,PlasticsUse!$B$26:$L$26,0))</f>
        <v>#N/A</v>
      </c>
    </row>
    <row r="44" spans="1:7" x14ac:dyDescent="0.2">
      <c r="A44" t="s">
        <v>2</v>
      </c>
      <c r="B44" t="s">
        <v>92</v>
      </c>
      <c r="C44" s="11"/>
      <c r="F44" t="s">
        <v>5</v>
      </c>
      <c r="G44" s="11">
        <f>INDEX(EndOfLife!$B$6:$E$14,MATCH($A44,EndOfLife!$A$6:$A$14,0),MATCH($F44,EndOfLife!$B$5:$E$5,0))*INDEX(PlasticsUse!$B$27:$L$41,MATCH('CompilationCalcs - EPA EOL'!$A44,PlasticsUse!$A$27:$A$41,0),MATCH('CompilationCalcs - EPA EOL'!$B44,PlasticsUse!$B$26:$L$26,0))</f>
        <v>0</v>
      </c>
    </row>
    <row r="45" spans="1:7" x14ac:dyDescent="0.2">
      <c r="A45" t="s">
        <v>2</v>
      </c>
      <c r="B45" t="s">
        <v>103</v>
      </c>
      <c r="C45" s="11"/>
      <c r="F45" t="s">
        <v>5</v>
      </c>
      <c r="G45" s="11">
        <f>INDEX(EndOfLife!$B$6:$E$14,MATCH($A45,EndOfLife!$A$6:$A$14,0),MATCH($F45,EndOfLife!$B$5:$E$5,0))*INDEX(PlasticsUse!$B$27:$L$41,MATCH('CompilationCalcs - EPA EOL'!$A45,PlasticsUse!$A$27:$A$41,0),MATCH('CompilationCalcs - EPA EOL'!$B45,PlasticsUse!$B$26:$L$26,0))</f>
        <v>0</v>
      </c>
    </row>
    <row r="46" spans="1:7" x14ac:dyDescent="0.2">
      <c r="A46" t="s">
        <v>2</v>
      </c>
      <c r="B46" t="s">
        <v>86</v>
      </c>
      <c r="C46" s="11"/>
      <c r="F46" t="s">
        <v>5</v>
      </c>
      <c r="G46" s="11">
        <f>INDEX(EndOfLife!$B$6:$E$14,MATCH($A46,EndOfLife!$A$6:$A$14,0),MATCH($F46,EndOfLife!$B$5:$E$5,0))*INDEX(PlasticsUse!$B$27:$L$41,MATCH('CompilationCalcs - EPA EOL'!$A46,PlasticsUse!$A$27:$A$41,0),MATCH('CompilationCalcs - EPA EOL'!$B46,PlasticsUse!$B$26:$L$26,0))</f>
        <v>7.9600000000000004E-2</v>
      </c>
    </row>
    <row r="47" spans="1:7" x14ac:dyDescent="0.2">
      <c r="A47" t="s">
        <v>2</v>
      </c>
      <c r="B47" t="s">
        <v>18</v>
      </c>
      <c r="C47" s="11"/>
      <c r="F47" t="s">
        <v>5</v>
      </c>
      <c r="G47" s="11">
        <f>INDEX(EndOfLife!$B$6:$E$14,MATCH($A47,EndOfLife!$A$6:$A$14,0),MATCH($F47,EndOfLife!$B$5:$E$5,0))*INDEX(PlasticsUse!$B$27:$L$41,MATCH('CompilationCalcs - EPA EOL'!$A47,PlasticsUse!$A$27:$A$41,0),MATCH('CompilationCalcs - EPA EOL'!$B47,PlasticsUse!$B$26:$L$26,0))</f>
        <v>0</v>
      </c>
    </row>
    <row r="48" spans="1:7" x14ac:dyDescent="0.2">
      <c r="A48" t="s">
        <v>2</v>
      </c>
      <c r="B48" t="s">
        <v>99</v>
      </c>
      <c r="C48" s="11"/>
      <c r="F48" t="s">
        <v>6</v>
      </c>
      <c r="G48" s="11">
        <f>INDEX(EndOfLife!$B$6:$E$14,MATCH($A48,EndOfLife!$A$6:$A$14,0),MATCH($F48,EndOfLife!$B$5:$E$5,0))*INDEX(PlasticsUse!$B$27:$L$41,MATCH('CompilationCalcs - EPA EOL'!$A48,PlasticsUse!$A$27:$A$41,0),MATCH('CompilationCalcs - EPA EOL'!$B48,PlasticsUse!$B$26:$L$26,0))</f>
        <v>0</v>
      </c>
    </row>
    <row r="49" spans="1:7" x14ac:dyDescent="0.2">
      <c r="A49" t="s">
        <v>2</v>
      </c>
      <c r="B49" t="s">
        <v>69</v>
      </c>
      <c r="C49" s="11"/>
      <c r="F49" t="s">
        <v>6</v>
      </c>
      <c r="G49" s="11">
        <f>INDEX(EndOfLife!$B$6:$E$14,MATCH($A49,EndOfLife!$A$6:$A$14,0),MATCH($F49,EndOfLife!$B$5:$E$5,0))*INDEX(PlasticsUse!$B$27:$L$41,MATCH('CompilationCalcs - EPA EOL'!$A49,PlasticsUse!$A$27:$A$41,0),MATCH('CompilationCalcs - EPA EOL'!$B49,PlasticsUse!$B$26:$L$26,0))</f>
        <v>0</v>
      </c>
    </row>
    <row r="50" spans="1:7" x14ac:dyDescent="0.2">
      <c r="A50" t="s">
        <v>2</v>
      </c>
      <c r="B50" t="s">
        <v>100</v>
      </c>
      <c r="C50" s="11"/>
      <c r="F50" t="s">
        <v>6</v>
      </c>
      <c r="G50" s="11">
        <f>INDEX(EndOfLife!$B$6:$E$14,MATCH($A50,EndOfLife!$A$6:$A$14,0),MATCH($F50,EndOfLife!$B$5:$E$5,0))*INDEX(PlasticsUse!$B$27:$L$41,MATCH('CompilationCalcs - EPA EOL'!$A50,PlasticsUse!$A$27:$A$41,0),MATCH('CompilationCalcs - EPA EOL'!$B50,PlasticsUse!$B$26:$L$26,0))</f>
        <v>0</v>
      </c>
    </row>
    <row r="51" spans="1:7" x14ac:dyDescent="0.2">
      <c r="A51" t="s">
        <v>2</v>
      </c>
      <c r="B51" t="s">
        <v>39</v>
      </c>
      <c r="C51" s="11"/>
      <c r="F51" t="s">
        <v>6</v>
      </c>
      <c r="G51" s="11">
        <f>INDEX(EndOfLife!$B$6:$E$14,MATCH($A51,EndOfLife!$A$6:$A$14,0),MATCH($F51,EndOfLife!$B$5:$E$5,0))*INDEX(PlasticsUse!$B$27:$L$41,MATCH('CompilationCalcs - EPA EOL'!$A51,PlasticsUse!$A$27:$A$41,0),MATCH('CompilationCalcs - EPA EOL'!$B51,PlasticsUse!$B$26:$L$26,0))</f>
        <v>1.296163636363636</v>
      </c>
    </row>
    <row r="52" spans="1:7" x14ac:dyDescent="0.2">
      <c r="A52" t="s">
        <v>2</v>
      </c>
      <c r="B52" t="s">
        <v>68</v>
      </c>
      <c r="C52" s="11"/>
      <c r="F52" t="s">
        <v>6</v>
      </c>
      <c r="G52" s="11">
        <f>INDEX(EndOfLife!$B$6:$E$14,MATCH($A52,EndOfLife!$A$6:$A$14,0),MATCH($F52,EndOfLife!$B$5:$E$5,0))*INDEX(PlasticsUse!$B$27:$L$41,MATCH('CompilationCalcs - EPA EOL'!$A52,PlasticsUse!$A$27:$A$41,0),MATCH('CompilationCalcs - EPA EOL'!$B52,PlasticsUse!$B$26:$L$26,0))</f>
        <v>0</v>
      </c>
    </row>
    <row r="53" spans="1:7" x14ac:dyDescent="0.2">
      <c r="A53" t="s">
        <v>2</v>
      </c>
      <c r="B53" t="s">
        <v>91</v>
      </c>
      <c r="C53" s="11"/>
      <c r="F53" t="s">
        <v>6</v>
      </c>
      <c r="G53" s="11" t="e">
        <f>INDEX(EndOfLife!$B$6:$E$14,MATCH($A53,EndOfLife!$A$6:$A$14,0),MATCH($F53,EndOfLife!$B$5:$E$5,0))*INDEX(PlasticsUse!$B$27:$L$41,MATCH('CompilationCalcs - EPA EOL'!$A53,PlasticsUse!$A$27:$A$41,0),MATCH('CompilationCalcs - EPA EOL'!$B53,PlasticsUse!$B$26:$L$26,0))</f>
        <v>#N/A</v>
      </c>
    </row>
    <row r="54" spans="1:7" x14ac:dyDescent="0.2">
      <c r="A54" t="s">
        <v>2</v>
      </c>
      <c r="B54" t="s">
        <v>92</v>
      </c>
      <c r="C54" s="11"/>
      <c r="F54" t="s">
        <v>6</v>
      </c>
      <c r="G54" s="11">
        <f>INDEX(EndOfLife!$B$6:$E$14,MATCH($A54,EndOfLife!$A$6:$A$14,0),MATCH($F54,EndOfLife!$B$5:$E$5,0))*INDEX(PlasticsUse!$B$27:$L$41,MATCH('CompilationCalcs - EPA EOL'!$A54,PlasticsUse!$A$27:$A$41,0),MATCH('CompilationCalcs - EPA EOL'!$B54,PlasticsUse!$B$26:$L$26,0))</f>
        <v>0</v>
      </c>
    </row>
    <row r="55" spans="1:7" x14ac:dyDescent="0.2">
      <c r="A55" t="s">
        <v>2</v>
      </c>
      <c r="B55" t="s">
        <v>103</v>
      </c>
      <c r="C55" s="11"/>
      <c r="F55" t="s">
        <v>6</v>
      </c>
      <c r="G55" s="11">
        <f>INDEX(EndOfLife!$B$6:$E$14,MATCH($A55,EndOfLife!$A$6:$A$14,0),MATCH($F55,EndOfLife!$B$5:$E$5,0))*INDEX(PlasticsUse!$B$27:$L$41,MATCH('CompilationCalcs - EPA EOL'!$A55,PlasticsUse!$A$27:$A$41,0),MATCH('CompilationCalcs - EPA EOL'!$B55,PlasticsUse!$B$26:$L$26,0))</f>
        <v>0</v>
      </c>
    </row>
    <row r="56" spans="1:7" x14ac:dyDescent="0.2">
      <c r="A56" t="s">
        <v>2</v>
      </c>
      <c r="B56" t="s">
        <v>86</v>
      </c>
      <c r="C56" s="11"/>
      <c r="F56" t="s">
        <v>6</v>
      </c>
      <c r="G56" s="11">
        <f>INDEX(EndOfLife!$B$6:$E$14,MATCH($A56,EndOfLife!$A$6:$A$14,0),MATCH($F56,EndOfLife!$B$5:$E$5,0))*INDEX(PlasticsUse!$B$27:$L$41,MATCH('CompilationCalcs - EPA EOL'!$A56,PlasticsUse!$A$27:$A$41,0),MATCH('CompilationCalcs - EPA EOL'!$B56,PlasticsUse!$B$26:$L$26,0))</f>
        <v>0.32201818181818176</v>
      </c>
    </row>
    <row r="57" spans="1:7" x14ac:dyDescent="0.2">
      <c r="A57" t="s">
        <v>2</v>
      </c>
      <c r="B57" t="s">
        <v>18</v>
      </c>
      <c r="C57" s="11"/>
      <c r="F57" t="s">
        <v>6</v>
      </c>
      <c r="G57" s="11">
        <f>INDEX(EndOfLife!$B$6:$E$14,MATCH($A57,EndOfLife!$A$6:$A$14,0),MATCH($F57,EndOfLife!$B$5:$E$5,0))*INDEX(PlasticsUse!$B$27:$L$41,MATCH('CompilationCalcs - EPA EOL'!$A57,PlasticsUse!$A$27:$A$41,0),MATCH('CompilationCalcs - EPA EOL'!$B57,PlasticsUse!$B$26:$L$26,0))</f>
        <v>0</v>
      </c>
    </row>
    <row r="58" spans="1:7" x14ac:dyDescent="0.2">
      <c r="A58" t="s">
        <v>1</v>
      </c>
      <c r="B58" t="s">
        <v>38</v>
      </c>
      <c r="C58" s="11">
        <f>INDEX(PlasticsUse!$B$94:$L$111,MATCH('CompilationCalcs - EPA EOL'!$A58,PlasticsUse!$A$94:$A$108,0),MATCH('CompilationCalcs - EPA EOL'!$B58,PlasticsUse!$B$93:$L$93,0))</f>
        <v>0.29456523123690448</v>
      </c>
      <c r="F58" t="s">
        <v>4</v>
      </c>
      <c r="G58" s="11">
        <f>INDEX(EndOfLife!$B$6:$E$14,MATCH($A58,EndOfLife!$A$6:$A$14,0),MATCH($F58,EndOfLife!$B$5:$E$5,0))*INDEX(PlasticsUse!$B$27:$L$41,MATCH('CompilationCalcs - EPA EOL'!$A58,PlasticsUse!$A$27:$A$41,0),MATCH('CompilationCalcs - EPA EOL'!$B58,PlasticsUse!$B$26:$L$26,0))</f>
        <v>4.6280150278259401E-2</v>
      </c>
    </row>
    <row r="59" spans="1:7" x14ac:dyDescent="0.2">
      <c r="A59" t="s">
        <v>1</v>
      </c>
      <c r="B59" t="s">
        <v>99</v>
      </c>
      <c r="C59" s="11">
        <f>INDEX(PlasticsUse!$B$94:$L$111,MATCH('CompilationCalcs - EPA EOL'!$A59,PlasticsUse!$A$94:$A$108,0),MATCH('CompilationCalcs - EPA EOL'!$B59,PlasticsUse!$B$93:$L$93,0))</f>
        <v>0.32927749019289559</v>
      </c>
      <c r="F59" t="s">
        <v>4</v>
      </c>
      <c r="G59" s="11">
        <f>INDEX(EndOfLife!$B$6:$E$14,MATCH($A59,EndOfLife!$A$6:$A$14,0),MATCH($F59,EndOfLife!$B$5:$E$5,0))*INDEX(PlasticsUse!$B$27:$L$41,MATCH('CompilationCalcs - EPA EOL'!$A59,PlasticsUse!$A$27:$A$41,0),MATCH('CompilationCalcs - EPA EOL'!$B59,PlasticsUse!$B$26:$L$26,0))</f>
        <v>4.6280150278259401E-2</v>
      </c>
    </row>
    <row r="60" spans="1:7" x14ac:dyDescent="0.2">
      <c r="A60" t="s">
        <v>1</v>
      </c>
      <c r="B60" t="s">
        <v>69</v>
      </c>
      <c r="C60" s="11">
        <f>INDEX(PlasticsUse!$B$94:$L$111,MATCH('CompilationCalcs - EPA EOL'!$A60,PlasticsUse!$A$94:$A$108,0),MATCH('CompilationCalcs - EPA EOL'!$B60,PlasticsUse!$B$93:$L$93,0))</f>
        <v>0.366684314271715</v>
      </c>
      <c r="F60" t="s">
        <v>4</v>
      </c>
      <c r="G60" s="11">
        <f>INDEX(EndOfLife!$B$6:$E$14,MATCH($A60,EndOfLife!$A$6:$A$14,0),MATCH($F60,EndOfLife!$B$5:$E$5,0))*INDEX(PlasticsUse!$B$27:$L$41,MATCH('CompilationCalcs - EPA EOL'!$A60,PlasticsUse!$A$27:$A$41,0),MATCH('CompilationCalcs - EPA EOL'!$B60,PlasticsUse!$B$26:$L$26,0))</f>
        <v>4.6280150278259401E-2</v>
      </c>
    </row>
    <row r="61" spans="1:7" x14ac:dyDescent="0.2">
      <c r="A61" t="s">
        <v>1</v>
      </c>
      <c r="B61" t="s">
        <v>100</v>
      </c>
      <c r="C61" s="11">
        <f>INDEX(PlasticsUse!$B$94:$L$111,MATCH('CompilationCalcs - EPA EOL'!$A61,PlasticsUse!$A$94:$A$108,0),MATCH('CompilationCalcs - EPA EOL'!$B61,PlasticsUse!$B$93:$L$93,0))</f>
        <v>0.29456523123690448</v>
      </c>
      <c r="F61" t="s">
        <v>4</v>
      </c>
      <c r="G61" s="11">
        <f>INDEX(EndOfLife!$B$6:$E$14,MATCH($A61,EndOfLife!$A$6:$A$14,0),MATCH($F61,EndOfLife!$B$5:$E$5,0))*INDEX(PlasticsUse!$B$27:$L$41,MATCH('CompilationCalcs - EPA EOL'!$A61,PlasticsUse!$A$27:$A$41,0),MATCH('CompilationCalcs - EPA EOL'!$B61,PlasticsUse!$B$26:$L$26,0))</f>
        <v>4.6280150278259401E-2</v>
      </c>
    </row>
    <row r="62" spans="1:7" x14ac:dyDescent="0.2">
      <c r="A62" t="s">
        <v>1</v>
      </c>
      <c r="B62" t="s">
        <v>39</v>
      </c>
      <c r="C62" s="11">
        <f>INDEX(PlasticsUse!$B$94:$L$111,MATCH('CompilationCalcs - EPA EOL'!$A62,PlasticsUse!$A$94:$A$108,0),MATCH('CompilationCalcs - EPA EOL'!$B62,PlasticsUse!$B$93:$L$93,0))</f>
        <v>0.35091038414257547</v>
      </c>
      <c r="F62" t="s">
        <v>4</v>
      </c>
      <c r="G62" s="11">
        <f>INDEX(EndOfLife!$B$6:$E$14,MATCH($A62,EndOfLife!$A$6:$A$14,0),MATCH($F62,EndOfLife!$B$5:$E$5,0))*INDEX(PlasticsUse!$B$27:$L$41,MATCH('CompilationCalcs - EPA EOL'!$A62,PlasticsUse!$A$27:$A$41,0),MATCH('CompilationCalcs - EPA EOL'!$B62,PlasticsUse!$B$26:$L$26,0))</f>
        <v>4.6280150278259401E-2</v>
      </c>
    </row>
    <row r="63" spans="1:7" x14ac:dyDescent="0.2">
      <c r="A63" t="s">
        <v>1</v>
      </c>
      <c r="B63" t="s">
        <v>68</v>
      </c>
      <c r="C63" s="11">
        <f>INDEX(PlasticsUse!$B$94:$L$111,MATCH('CompilationCalcs - EPA EOL'!$A63,PlasticsUse!$A$94:$A$108,0),MATCH('CompilationCalcs - EPA EOL'!$B63,PlasticsUse!$B$93:$L$93,0))</f>
        <v>0.38666172715734221</v>
      </c>
      <c r="F63" t="s">
        <v>4</v>
      </c>
      <c r="G63" s="11">
        <f>INDEX(EndOfLife!$B$6:$E$14,MATCH($A63,EndOfLife!$A$6:$A$14,0),MATCH($F63,EndOfLife!$B$5:$E$5,0))*INDEX(PlasticsUse!$B$27:$L$41,MATCH('CompilationCalcs - EPA EOL'!$A63,PlasticsUse!$A$27:$A$41,0),MATCH('CompilationCalcs - EPA EOL'!$B63,PlasticsUse!$B$26:$L$26,0))</f>
        <v>4.6280150278259401E-2</v>
      </c>
    </row>
    <row r="64" spans="1:7" x14ac:dyDescent="0.2">
      <c r="A64" t="s">
        <v>1</v>
      </c>
      <c r="B64" t="s">
        <v>91</v>
      </c>
      <c r="C64" s="11" t="e">
        <f>INDEX(PlasticsUse!$B$94:$L$111,MATCH('CompilationCalcs - EPA EOL'!$A64,PlasticsUse!$A$94:$A$108,0),MATCH('CompilationCalcs - EPA EOL'!$B64,PlasticsUse!$B$93:$L$93,0))</f>
        <v>#N/A</v>
      </c>
      <c r="F64" t="s">
        <v>4</v>
      </c>
      <c r="G64" s="11" t="e">
        <f>INDEX(EndOfLife!$B$6:$E$14,MATCH($A64,EndOfLife!$A$6:$A$14,0),MATCH($F64,EndOfLife!$B$5:$E$5,0))*INDEX(PlasticsUse!$B$27:$L$41,MATCH('CompilationCalcs - EPA EOL'!$A64,PlasticsUse!$A$27:$A$41,0),MATCH('CompilationCalcs - EPA EOL'!$B64,PlasticsUse!$B$26:$L$26,0))</f>
        <v>#N/A</v>
      </c>
    </row>
    <row r="65" spans="1:7" x14ac:dyDescent="0.2">
      <c r="A65" t="s">
        <v>1</v>
      </c>
      <c r="B65" t="s">
        <v>92</v>
      </c>
      <c r="C65" s="11">
        <f>INDEX(PlasticsUse!$B$94:$L$111,MATCH('CompilationCalcs - EPA EOL'!$A65,PlasticsUse!$A$94:$A$108,0),MATCH('CompilationCalcs - EPA EOL'!$B65,PlasticsUse!$B$93:$L$93,0))</f>
        <v>0.29456523123690448</v>
      </c>
      <c r="F65" t="s">
        <v>4</v>
      </c>
      <c r="G65" s="11">
        <f>INDEX(EndOfLife!$B$6:$E$14,MATCH($A65,EndOfLife!$A$6:$A$14,0),MATCH($F65,EndOfLife!$B$5:$E$5,0))*INDEX(PlasticsUse!$B$27:$L$41,MATCH('CompilationCalcs - EPA EOL'!$A65,PlasticsUse!$A$27:$A$41,0),MATCH('CompilationCalcs - EPA EOL'!$B65,PlasticsUse!$B$26:$L$26,0))</f>
        <v>4.6280150278259401E-2</v>
      </c>
    </row>
    <row r="66" spans="1:7" x14ac:dyDescent="0.2">
      <c r="A66" t="s">
        <v>1</v>
      </c>
      <c r="B66" t="s">
        <v>103</v>
      </c>
      <c r="C66" s="11">
        <f>INDEX(PlasticsUse!$B$94:$L$111,MATCH('CompilationCalcs - EPA EOL'!$A66,PlasticsUse!$A$94:$A$108,0),MATCH('CompilationCalcs - EPA EOL'!$B66,PlasticsUse!$B$93:$L$93,0))</f>
        <v>0</v>
      </c>
      <c r="F66" t="s">
        <v>4</v>
      </c>
      <c r="G66" s="11">
        <f>INDEX(EndOfLife!$B$6:$E$14,MATCH($A66,EndOfLife!$A$6:$A$14,0),MATCH($F66,EndOfLife!$B$5:$E$5,0))*INDEX(PlasticsUse!$B$27:$L$41,MATCH('CompilationCalcs - EPA EOL'!$A66,PlasticsUse!$A$27:$A$41,0),MATCH('CompilationCalcs - EPA EOL'!$B66,PlasticsUse!$B$26:$L$26,0))</f>
        <v>0</v>
      </c>
    </row>
    <row r="67" spans="1:7" x14ac:dyDescent="0.2">
      <c r="A67" t="s">
        <v>1</v>
      </c>
      <c r="B67" t="s">
        <v>86</v>
      </c>
      <c r="C67" s="11">
        <f>INDEX(PlasticsUse!$B$94:$L$111,MATCH('CompilationCalcs - EPA EOL'!$A67,PlasticsUse!$A$94:$A$108,0),MATCH('CompilationCalcs - EPA EOL'!$B67,PlasticsUse!$B$93:$L$93,0))</f>
        <v>0.29456523123690448</v>
      </c>
      <c r="F67" t="s">
        <v>4</v>
      </c>
      <c r="G67" s="11">
        <f>INDEX(EndOfLife!$B$6:$E$14,MATCH($A67,EndOfLife!$A$6:$A$14,0),MATCH($F67,EndOfLife!$B$5:$E$5,0))*INDEX(PlasticsUse!$B$27:$L$41,MATCH('CompilationCalcs - EPA EOL'!$A67,PlasticsUse!$A$27:$A$41,0),MATCH('CompilationCalcs - EPA EOL'!$B67,PlasticsUse!$B$26:$L$26,0))</f>
        <v>4.6280150278259401E-2</v>
      </c>
    </row>
    <row r="68" spans="1:7" x14ac:dyDescent="0.2">
      <c r="A68" t="s">
        <v>1</v>
      </c>
      <c r="B68" t="s">
        <v>18</v>
      </c>
      <c r="C68" s="11">
        <f>INDEX(PlasticsUse!$B$94:$L$111,MATCH('CompilationCalcs - EPA EOL'!$A68,PlasticsUse!$A$94:$A$108,0),MATCH('CompilationCalcs - EPA EOL'!$B68,PlasticsUse!$B$93:$L$93,0))</f>
        <v>0.29456523123690448</v>
      </c>
      <c r="F68" t="s">
        <v>4</v>
      </c>
      <c r="G68" s="11">
        <v>0</v>
      </c>
    </row>
    <row r="69" spans="1:7" x14ac:dyDescent="0.2">
      <c r="A69" t="s">
        <v>1</v>
      </c>
      <c r="B69" t="s">
        <v>38</v>
      </c>
      <c r="C69" s="11"/>
      <c r="F69" t="s">
        <v>5</v>
      </c>
      <c r="G69" s="11">
        <f>INDEX(EndOfLife!$B$6:$E$14,MATCH($A69,EndOfLife!$A$6:$A$14,0),MATCH($F69,EndOfLife!$B$5:$E$5,0))*INDEX(PlasticsUse!$B$27:$L$41,MATCH('CompilationCalcs - EPA EOL'!$A69,PlasticsUse!$A$27:$A$41,0),MATCH('CompilationCalcs - EPA EOL'!$B69,PlasticsUse!$B$26:$L$26,0))</f>
        <v>8.2643125496891789E-3</v>
      </c>
    </row>
    <row r="70" spans="1:7" x14ac:dyDescent="0.2">
      <c r="A70" t="s">
        <v>1</v>
      </c>
      <c r="B70" t="s">
        <v>99</v>
      </c>
      <c r="C70" s="11"/>
      <c r="F70" t="s">
        <v>5</v>
      </c>
      <c r="G70" s="11">
        <f>INDEX(EndOfLife!$B$6:$E$14,MATCH($A70,EndOfLife!$A$6:$A$14,0),MATCH($F70,EndOfLife!$B$5:$E$5,0))*INDEX(PlasticsUse!$B$27:$L$41,MATCH('CompilationCalcs - EPA EOL'!$A70,PlasticsUse!$A$27:$A$41,0),MATCH('CompilationCalcs - EPA EOL'!$B70,PlasticsUse!$B$26:$L$26,0))</f>
        <v>8.2643125496891789E-3</v>
      </c>
    </row>
    <row r="71" spans="1:7" x14ac:dyDescent="0.2">
      <c r="A71" t="s">
        <v>1</v>
      </c>
      <c r="B71" t="s">
        <v>69</v>
      </c>
      <c r="C71" s="11"/>
      <c r="F71" t="s">
        <v>5</v>
      </c>
      <c r="G71" s="11">
        <f>INDEX(EndOfLife!$B$6:$E$14,MATCH($A71,EndOfLife!$A$6:$A$14,0),MATCH($F71,EndOfLife!$B$5:$E$5,0))*INDEX(PlasticsUse!$B$27:$L$41,MATCH('CompilationCalcs - EPA EOL'!$A71,PlasticsUse!$A$27:$A$41,0),MATCH('CompilationCalcs - EPA EOL'!$B71,PlasticsUse!$B$26:$L$26,0))</f>
        <v>8.2643125496891789E-3</v>
      </c>
    </row>
    <row r="72" spans="1:7" x14ac:dyDescent="0.2">
      <c r="A72" t="s">
        <v>1</v>
      </c>
      <c r="B72" t="s">
        <v>100</v>
      </c>
      <c r="C72" s="11"/>
      <c r="F72" t="s">
        <v>5</v>
      </c>
      <c r="G72" s="11">
        <f>INDEX(EndOfLife!$B$6:$E$14,MATCH($A72,EndOfLife!$A$6:$A$14,0),MATCH($F72,EndOfLife!$B$5:$E$5,0))*INDEX(PlasticsUse!$B$27:$L$41,MATCH('CompilationCalcs - EPA EOL'!$A72,PlasticsUse!$A$27:$A$41,0),MATCH('CompilationCalcs - EPA EOL'!$B72,PlasticsUse!$B$26:$L$26,0))</f>
        <v>8.2643125496891789E-3</v>
      </c>
    </row>
    <row r="73" spans="1:7" x14ac:dyDescent="0.2">
      <c r="A73" t="s">
        <v>1</v>
      </c>
      <c r="B73" t="s">
        <v>39</v>
      </c>
      <c r="C73" s="11"/>
      <c r="F73" t="s">
        <v>5</v>
      </c>
      <c r="G73" s="11">
        <f>INDEX(EndOfLife!$B$6:$E$14,MATCH($A73,EndOfLife!$A$6:$A$14,0),MATCH($F73,EndOfLife!$B$5:$E$5,0))*INDEX(PlasticsUse!$B$27:$L$41,MATCH('CompilationCalcs - EPA EOL'!$A73,PlasticsUse!$A$27:$A$41,0),MATCH('CompilationCalcs - EPA EOL'!$B73,PlasticsUse!$B$26:$L$26,0))</f>
        <v>8.2643125496891789E-3</v>
      </c>
    </row>
    <row r="74" spans="1:7" x14ac:dyDescent="0.2">
      <c r="A74" t="s">
        <v>1</v>
      </c>
      <c r="B74" t="s">
        <v>68</v>
      </c>
      <c r="C74" s="11"/>
      <c r="F74" t="s">
        <v>5</v>
      </c>
      <c r="G74" s="11">
        <f>INDEX(EndOfLife!$B$6:$E$14,MATCH($A74,EndOfLife!$A$6:$A$14,0),MATCH($F74,EndOfLife!$B$5:$E$5,0))*INDEX(PlasticsUse!$B$27:$L$41,MATCH('CompilationCalcs - EPA EOL'!$A74,PlasticsUse!$A$27:$A$41,0),MATCH('CompilationCalcs - EPA EOL'!$B74,PlasticsUse!$B$26:$L$26,0))</f>
        <v>8.2643125496891789E-3</v>
      </c>
    </row>
    <row r="75" spans="1:7" x14ac:dyDescent="0.2">
      <c r="A75" t="s">
        <v>1</v>
      </c>
      <c r="B75" t="s">
        <v>91</v>
      </c>
      <c r="C75" s="11"/>
      <c r="F75" t="s">
        <v>5</v>
      </c>
      <c r="G75" s="11" t="e">
        <f>INDEX(EndOfLife!$B$6:$E$14,MATCH($A75,EndOfLife!$A$6:$A$14,0),MATCH($F75,EndOfLife!$B$5:$E$5,0))*INDEX(PlasticsUse!$B$27:$L$41,MATCH('CompilationCalcs - EPA EOL'!$A75,PlasticsUse!$A$27:$A$41,0),MATCH('CompilationCalcs - EPA EOL'!$B75,PlasticsUse!$B$26:$L$26,0))</f>
        <v>#N/A</v>
      </c>
    </row>
    <row r="76" spans="1:7" x14ac:dyDescent="0.2">
      <c r="A76" t="s">
        <v>1</v>
      </c>
      <c r="B76" t="s">
        <v>92</v>
      </c>
      <c r="C76" s="11"/>
      <c r="F76" t="s">
        <v>5</v>
      </c>
      <c r="G76" s="11">
        <f>INDEX(EndOfLife!$B$6:$E$14,MATCH($A76,EndOfLife!$A$6:$A$14,0),MATCH($F76,EndOfLife!$B$5:$E$5,0))*INDEX(PlasticsUse!$B$27:$L$41,MATCH('CompilationCalcs - EPA EOL'!$A76,PlasticsUse!$A$27:$A$41,0),MATCH('CompilationCalcs - EPA EOL'!$B76,PlasticsUse!$B$26:$L$26,0))</f>
        <v>8.2643125496891789E-3</v>
      </c>
    </row>
    <row r="77" spans="1:7" x14ac:dyDescent="0.2">
      <c r="A77" t="s">
        <v>1</v>
      </c>
      <c r="B77" t="s">
        <v>103</v>
      </c>
      <c r="C77" s="11"/>
      <c r="F77" t="s">
        <v>5</v>
      </c>
      <c r="G77" s="11">
        <f>INDEX(EndOfLife!$B$6:$E$14,MATCH($A77,EndOfLife!$A$6:$A$14,0),MATCH($F77,EndOfLife!$B$5:$E$5,0))*INDEX(PlasticsUse!$B$27:$L$41,MATCH('CompilationCalcs - EPA EOL'!$A77,PlasticsUse!$A$27:$A$41,0),MATCH('CompilationCalcs - EPA EOL'!$B77,PlasticsUse!$B$26:$L$26,0))</f>
        <v>0</v>
      </c>
    </row>
    <row r="78" spans="1:7" x14ac:dyDescent="0.2">
      <c r="A78" t="s">
        <v>1</v>
      </c>
      <c r="B78" t="s">
        <v>86</v>
      </c>
      <c r="C78" s="11"/>
      <c r="F78" t="s">
        <v>5</v>
      </c>
      <c r="G78" s="11">
        <f>INDEX(EndOfLife!$B$6:$E$14,MATCH($A78,EndOfLife!$A$6:$A$14,0),MATCH($F78,EndOfLife!$B$5:$E$5,0))*INDEX(PlasticsUse!$B$27:$L$41,MATCH('CompilationCalcs - EPA EOL'!$A78,PlasticsUse!$A$27:$A$41,0),MATCH('CompilationCalcs - EPA EOL'!$B78,PlasticsUse!$B$26:$L$26,0))</f>
        <v>8.2643125496891789E-3</v>
      </c>
    </row>
    <row r="79" spans="1:7" x14ac:dyDescent="0.2">
      <c r="A79" t="s">
        <v>1</v>
      </c>
      <c r="B79" t="s">
        <v>18</v>
      </c>
      <c r="C79" s="11"/>
      <c r="F79" t="s">
        <v>5</v>
      </c>
      <c r="G79" s="11">
        <v>0</v>
      </c>
    </row>
    <row r="80" spans="1:7" x14ac:dyDescent="0.2">
      <c r="A80" t="s">
        <v>1</v>
      </c>
      <c r="B80" t="s">
        <v>38</v>
      </c>
      <c r="C80" s="11"/>
      <c r="F80" t="s">
        <v>6</v>
      </c>
      <c r="G80" s="11">
        <f>INDEX(EndOfLife!$B$6:$E$14,MATCH($A80,EndOfLife!$A$6:$A$14,0),MATCH($F80,EndOfLife!$B$5:$E$5,0))*INDEX(PlasticsUse!$B$27:$L$41,MATCH('CompilationCalcs - EPA EOL'!$A80,PlasticsUse!$A$27:$A$41,0),MATCH('CompilationCalcs - EPA EOL'!$B80,PlasticsUse!$B$26:$L$26,0))</f>
        <v>3.5536543963663465E-2</v>
      </c>
    </row>
    <row r="81" spans="1:7" x14ac:dyDescent="0.2">
      <c r="A81" t="s">
        <v>1</v>
      </c>
      <c r="B81" t="s">
        <v>99</v>
      </c>
      <c r="C81" s="11"/>
      <c r="F81" t="s">
        <v>6</v>
      </c>
      <c r="G81" s="11">
        <f>INDEX(EndOfLife!$B$6:$E$14,MATCH($A81,EndOfLife!$A$6:$A$14,0),MATCH($F81,EndOfLife!$B$5:$E$5,0))*INDEX(PlasticsUse!$B$27:$L$41,MATCH('CompilationCalcs - EPA EOL'!$A81,PlasticsUse!$A$27:$A$41,0),MATCH('CompilationCalcs - EPA EOL'!$B81,PlasticsUse!$B$26:$L$26,0))</f>
        <v>3.5536543963663465E-2</v>
      </c>
    </row>
    <row r="82" spans="1:7" x14ac:dyDescent="0.2">
      <c r="A82" t="s">
        <v>1</v>
      </c>
      <c r="B82" t="s">
        <v>69</v>
      </c>
      <c r="C82" s="11"/>
      <c r="F82" t="s">
        <v>6</v>
      </c>
      <c r="G82" s="11">
        <f>INDEX(EndOfLife!$B$6:$E$14,MATCH($A82,EndOfLife!$A$6:$A$14,0),MATCH($F82,EndOfLife!$B$5:$E$5,0))*INDEX(PlasticsUse!$B$27:$L$41,MATCH('CompilationCalcs - EPA EOL'!$A82,PlasticsUse!$A$27:$A$41,0),MATCH('CompilationCalcs - EPA EOL'!$B82,PlasticsUse!$B$26:$L$26,0))</f>
        <v>3.5536543963663465E-2</v>
      </c>
    </row>
    <row r="83" spans="1:7" x14ac:dyDescent="0.2">
      <c r="A83" t="s">
        <v>1</v>
      </c>
      <c r="B83" t="s">
        <v>100</v>
      </c>
      <c r="C83" s="11"/>
      <c r="F83" t="s">
        <v>6</v>
      </c>
      <c r="G83" s="11">
        <f>INDEX(EndOfLife!$B$6:$E$14,MATCH($A83,EndOfLife!$A$6:$A$14,0),MATCH($F83,EndOfLife!$B$5:$E$5,0))*INDEX(PlasticsUse!$B$27:$L$41,MATCH('CompilationCalcs - EPA EOL'!$A83,PlasticsUse!$A$27:$A$41,0),MATCH('CompilationCalcs - EPA EOL'!$B83,PlasticsUse!$B$26:$L$26,0))</f>
        <v>3.5536543963663465E-2</v>
      </c>
    </row>
    <row r="84" spans="1:7" x14ac:dyDescent="0.2">
      <c r="A84" t="s">
        <v>1</v>
      </c>
      <c r="B84" t="s">
        <v>39</v>
      </c>
      <c r="C84" s="11"/>
      <c r="F84" t="s">
        <v>6</v>
      </c>
      <c r="G84" s="11">
        <f>INDEX(EndOfLife!$B$6:$E$14,MATCH($A84,EndOfLife!$A$6:$A$14,0),MATCH($F84,EndOfLife!$B$5:$E$5,0))*INDEX(PlasticsUse!$B$27:$L$41,MATCH('CompilationCalcs - EPA EOL'!$A84,PlasticsUse!$A$27:$A$41,0),MATCH('CompilationCalcs - EPA EOL'!$B84,PlasticsUse!$B$26:$L$26,0))</f>
        <v>3.5536543963663465E-2</v>
      </c>
    </row>
    <row r="85" spans="1:7" x14ac:dyDescent="0.2">
      <c r="A85" t="s">
        <v>1</v>
      </c>
      <c r="B85" t="s">
        <v>68</v>
      </c>
      <c r="C85" s="11"/>
      <c r="F85" t="s">
        <v>6</v>
      </c>
      <c r="G85" s="11">
        <f>INDEX(EndOfLife!$B$6:$E$14,MATCH($A85,EndOfLife!$A$6:$A$14,0),MATCH($F85,EndOfLife!$B$5:$E$5,0))*INDEX(PlasticsUse!$B$27:$L$41,MATCH('CompilationCalcs - EPA EOL'!$A85,PlasticsUse!$A$27:$A$41,0),MATCH('CompilationCalcs - EPA EOL'!$B85,PlasticsUse!$B$26:$L$26,0))</f>
        <v>3.5536543963663465E-2</v>
      </c>
    </row>
    <row r="86" spans="1:7" x14ac:dyDescent="0.2">
      <c r="A86" t="s">
        <v>1</v>
      </c>
      <c r="B86" t="s">
        <v>91</v>
      </c>
      <c r="C86" s="11"/>
      <c r="F86" t="s">
        <v>6</v>
      </c>
      <c r="G86" s="11" t="e">
        <f>INDEX(EndOfLife!$B$6:$E$14,MATCH($A86,EndOfLife!$A$6:$A$14,0),MATCH($F86,EndOfLife!$B$5:$E$5,0))*INDEX(PlasticsUse!$B$27:$L$41,MATCH('CompilationCalcs - EPA EOL'!$A86,PlasticsUse!$A$27:$A$41,0),MATCH('CompilationCalcs - EPA EOL'!$B86,PlasticsUse!$B$26:$L$26,0))</f>
        <v>#N/A</v>
      </c>
    </row>
    <row r="87" spans="1:7" x14ac:dyDescent="0.2">
      <c r="A87" t="s">
        <v>1</v>
      </c>
      <c r="B87" t="s">
        <v>92</v>
      </c>
      <c r="C87" s="11"/>
      <c r="F87" t="s">
        <v>6</v>
      </c>
      <c r="G87" s="11">
        <f>INDEX(EndOfLife!$B$6:$E$14,MATCH($A87,EndOfLife!$A$6:$A$14,0),MATCH($F87,EndOfLife!$B$5:$E$5,0))*INDEX(PlasticsUse!$B$27:$L$41,MATCH('CompilationCalcs - EPA EOL'!$A87,PlasticsUse!$A$27:$A$41,0),MATCH('CompilationCalcs - EPA EOL'!$B87,PlasticsUse!$B$26:$L$26,0))</f>
        <v>3.5536543963663465E-2</v>
      </c>
    </row>
    <row r="88" spans="1:7" x14ac:dyDescent="0.2">
      <c r="A88" t="s">
        <v>1</v>
      </c>
      <c r="B88" t="s">
        <v>103</v>
      </c>
      <c r="C88" s="11"/>
      <c r="F88" t="s">
        <v>6</v>
      </c>
      <c r="G88" s="11">
        <f>INDEX(EndOfLife!$B$6:$E$14,MATCH($A88,EndOfLife!$A$6:$A$14,0),MATCH($F88,EndOfLife!$B$5:$E$5,0))*INDEX(PlasticsUse!$B$27:$L$41,MATCH('CompilationCalcs - EPA EOL'!$A88,PlasticsUse!$A$27:$A$41,0),MATCH('CompilationCalcs - EPA EOL'!$B88,PlasticsUse!$B$26:$L$26,0))</f>
        <v>0</v>
      </c>
    </row>
    <row r="89" spans="1:7" x14ac:dyDescent="0.2">
      <c r="A89" t="s">
        <v>1</v>
      </c>
      <c r="B89" t="s">
        <v>86</v>
      </c>
      <c r="C89" s="11"/>
      <c r="F89" t="s">
        <v>6</v>
      </c>
      <c r="G89" s="11">
        <f>INDEX(EndOfLife!$B$6:$E$14,MATCH($A89,EndOfLife!$A$6:$A$14,0),MATCH($F89,EndOfLife!$B$5:$E$5,0))*INDEX(PlasticsUse!$B$27:$L$41,MATCH('CompilationCalcs - EPA EOL'!$A89,PlasticsUse!$A$27:$A$41,0),MATCH('CompilationCalcs - EPA EOL'!$B89,PlasticsUse!$B$26:$L$26,0))</f>
        <v>3.5536543963663465E-2</v>
      </c>
    </row>
    <row r="90" spans="1:7" x14ac:dyDescent="0.2">
      <c r="A90" t="s">
        <v>1</v>
      </c>
      <c r="B90" t="s">
        <v>18</v>
      </c>
      <c r="C90" s="11"/>
      <c r="F90" t="s">
        <v>6</v>
      </c>
      <c r="G90" s="11">
        <v>0</v>
      </c>
    </row>
    <row r="91" spans="1:7" x14ac:dyDescent="0.2">
      <c r="A91" t="s">
        <v>7</v>
      </c>
      <c r="B91" t="s">
        <v>38</v>
      </c>
      <c r="C91" s="11">
        <f>INDEX(PlasticsUse!$B$94:$L$111,MATCH('CompilationCalcs - EPA EOL'!$A91,PlasticsUse!$A$94:$A$108,0),MATCH('CompilationCalcs - EPA EOL'!$B91,PlasticsUse!$B$93:$L$93,0))</f>
        <v>0.2221145175819659</v>
      </c>
      <c r="F91" t="s">
        <v>4</v>
      </c>
      <c r="G91" s="11">
        <f>INDEX(EndOfLife!$B$6:$E$14,MATCH($A91,EndOfLife!$A$6:$A$14,0),MATCH($F91,EndOfLife!$B$5:$E$5,0))*INDEX(PlasticsUse!$B$27:$L$41,MATCH('CompilationCalcs - EPA EOL'!$A91,PlasticsUse!$A$27:$A$41,0),MATCH('CompilationCalcs - EPA EOL'!$B91,PlasticsUse!$B$26:$L$26,0))</f>
        <v>0</v>
      </c>
    </row>
    <row r="92" spans="1:7" x14ac:dyDescent="0.2">
      <c r="A92" t="s">
        <v>7</v>
      </c>
      <c r="B92" t="s">
        <v>99</v>
      </c>
      <c r="C92" s="11">
        <f>INDEX(PlasticsUse!$B$94:$L$111,MATCH('CompilationCalcs - EPA EOL'!$A92,PlasticsUse!$A$94:$A$108,0),MATCH('CompilationCalcs - EPA EOL'!$B92,PlasticsUse!$B$93:$L$93,0))</f>
        <v>0.24828901421150662</v>
      </c>
      <c r="F92" t="s">
        <v>4</v>
      </c>
      <c r="G92" s="11">
        <f>INDEX(EndOfLife!$B$6:$E$14,MATCH($A92,EndOfLife!$A$6:$A$14,0),MATCH($F92,EndOfLife!$B$5:$E$5,0))*INDEX(PlasticsUse!$B$27:$L$41,MATCH('CompilationCalcs - EPA EOL'!$A92,PlasticsUse!$A$27:$A$41,0),MATCH('CompilationCalcs - EPA EOL'!$B92,PlasticsUse!$B$26:$L$26,0))</f>
        <v>0</v>
      </c>
    </row>
    <row r="93" spans="1:7" x14ac:dyDescent="0.2">
      <c r="A93" t="s">
        <v>7</v>
      </c>
      <c r="B93" t="s">
        <v>69</v>
      </c>
      <c r="C93" s="11">
        <f>INDEX(PlasticsUse!$B$94:$L$111,MATCH('CompilationCalcs - EPA EOL'!$A93,PlasticsUse!$A$94:$A$108,0),MATCH('CompilationCalcs - EPA EOL'!$B93,PlasticsUse!$B$93:$L$93,0))</f>
        <v>0.27649532576311753</v>
      </c>
      <c r="F93" t="s">
        <v>4</v>
      </c>
      <c r="G93" s="11">
        <f>INDEX(EndOfLife!$B$6:$E$14,MATCH($A93,EndOfLife!$A$6:$A$14,0),MATCH($F93,EndOfLife!$B$5:$E$5,0))*INDEX(PlasticsUse!$B$27:$L$41,MATCH('CompilationCalcs - EPA EOL'!$A93,PlasticsUse!$A$27:$A$41,0),MATCH('CompilationCalcs - EPA EOL'!$B93,PlasticsUse!$B$26:$L$26,0))</f>
        <v>0</v>
      </c>
    </row>
    <row r="94" spans="1:7" x14ac:dyDescent="0.2">
      <c r="A94" t="s">
        <v>7</v>
      </c>
      <c r="B94" t="s">
        <v>100</v>
      </c>
      <c r="C94" s="11">
        <f>INDEX(PlasticsUse!$B$94:$L$111,MATCH('CompilationCalcs - EPA EOL'!$A94,PlasticsUse!$A$94:$A$108,0),MATCH('CompilationCalcs - EPA EOL'!$B94,PlasticsUse!$B$93:$L$93,0))</f>
        <v>0.2221145175819659</v>
      </c>
      <c r="F94" t="s">
        <v>4</v>
      </c>
      <c r="G94" s="11">
        <f>INDEX(EndOfLife!$B$6:$E$14,MATCH($A94,EndOfLife!$A$6:$A$14,0),MATCH($F94,EndOfLife!$B$5:$E$5,0))*INDEX(PlasticsUse!$B$27:$L$41,MATCH('CompilationCalcs - EPA EOL'!$A94,PlasticsUse!$A$27:$A$41,0),MATCH('CompilationCalcs - EPA EOL'!$B94,PlasticsUse!$B$26:$L$26,0))</f>
        <v>0</v>
      </c>
    </row>
    <row r="95" spans="1:7" x14ac:dyDescent="0.2">
      <c r="A95" t="s">
        <v>7</v>
      </c>
      <c r="B95" t="s">
        <v>39</v>
      </c>
      <c r="C95" s="11">
        <f>INDEX(PlasticsUse!$B$94:$L$111,MATCH('CompilationCalcs - EPA EOL'!$A95,PlasticsUse!$A$94:$A$108,0),MATCH('CompilationCalcs - EPA EOL'!$B95,PlasticsUse!$B$93:$L$93,0))</f>
        <v>0.26460112200290636</v>
      </c>
      <c r="F95" t="s">
        <v>4</v>
      </c>
      <c r="G95" s="11">
        <f>INDEX(EndOfLife!$B$6:$E$14,MATCH($A95,EndOfLife!$A$6:$A$14,0),MATCH($F95,EndOfLife!$B$5:$E$5,0))*INDEX(PlasticsUse!$B$27:$L$41,MATCH('CompilationCalcs - EPA EOL'!$A95,PlasticsUse!$A$27:$A$41,0),MATCH('CompilationCalcs - EPA EOL'!$B95,PlasticsUse!$B$26:$L$26,0))</f>
        <v>0</v>
      </c>
    </row>
    <row r="96" spans="1:7" x14ac:dyDescent="0.2">
      <c r="A96" t="s">
        <v>7</v>
      </c>
      <c r="B96" t="s">
        <v>68</v>
      </c>
      <c r="C96" s="11">
        <f>INDEX(PlasticsUse!$B$94:$L$111,MATCH('CompilationCalcs - EPA EOL'!$A96,PlasticsUse!$A$94:$A$108,0),MATCH('CompilationCalcs - EPA EOL'!$B96,PlasticsUse!$B$93:$L$93,0))</f>
        <v>0.29155913151844837</v>
      </c>
      <c r="F96" t="s">
        <v>4</v>
      </c>
      <c r="G96" s="11">
        <f>INDEX(EndOfLife!$B$6:$E$14,MATCH($A96,EndOfLife!$A$6:$A$14,0),MATCH($F96,EndOfLife!$B$5:$E$5,0))*INDEX(PlasticsUse!$B$27:$L$41,MATCH('CompilationCalcs - EPA EOL'!$A96,PlasticsUse!$A$27:$A$41,0),MATCH('CompilationCalcs - EPA EOL'!$B96,PlasticsUse!$B$26:$L$26,0))</f>
        <v>0</v>
      </c>
    </row>
    <row r="97" spans="1:7" x14ac:dyDescent="0.2">
      <c r="A97" t="s">
        <v>7</v>
      </c>
      <c r="B97" t="s">
        <v>91</v>
      </c>
      <c r="C97" s="11" t="e">
        <f>INDEX(PlasticsUse!$B$94:$L$111,MATCH('CompilationCalcs - EPA EOL'!$A97,PlasticsUse!$A$94:$A$108,0),MATCH('CompilationCalcs - EPA EOL'!$B97,PlasticsUse!$B$93:$L$93,0))</f>
        <v>#N/A</v>
      </c>
      <c r="F97" t="s">
        <v>4</v>
      </c>
      <c r="G97" s="11" t="e">
        <f>INDEX(EndOfLife!$B$6:$E$14,MATCH($A97,EndOfLife!$A$6:$A$14,0),MATCH($F97,EndOfLife!$B$5:$E$5,0))*INDEX(PlasticsUse!$B$27:$L$41,MATCH('CompilationCalcs - EPA EOL'!$A97,PlasticsUse!$A$27:$A$41,0),MATCH('CompilationCalcs - EPA EOL'!$B97,PlasticsUse!$B$26:$L$26,0))</f>
        <v>#N/A</v>
      </c>
    </row>
    <row r="98" spans="1:7" x14ac:dyDescent="0.2">
      <c r="A98" t="s">
        <v>7</v>
      </c>
      <c r="B98" t="s">
        <v>92</v>
      </c>
      <c r="C98" s="11">
        <f>INDEX(PlasticsUse!$B$94:$L$111,MATCH('CompilationCalcs - EPA EOL'!$A98,PlasticsUse!$A$94:$A$108,0),MATCH('CompilationCalcs - EPA EOL'!$B98,PlasticsUse!$B$93:$L$93,0))</f>
        <v>0.2221145175819659</v>
      </c>
      <c r="F98" t="s">
        <v>4</v>
      </c>
      <c r="G98" s="11">
        <f>INDEX(EndOfLife!$B$6:$E$14,MATCH($A98,EndOfLife!$A$6:$A$14,0),MATCH($F98,EndOfLife!$B$5:$E$5,0))*INDEX(PlasticsUse!$B$27:$L$41,MATCH('CompilationCalcs - EPA EOL'!$A98,PlasticsUse!$A$27:$A$41,0),MATCH('CompilationCalcs - EPA EOL'!$B98,PlasticsUse!$B$26:$L$26,0))</f>
        <v>0</v>
      </c>
    </row>
    <row r="99" spans="1:7" x14ac:dyDescent="0.2">
      <c r="A99" t="s">
        <v>7</v>
      </c>
      <c r="B99" t="s">
        <v>103</v>
      </c>
      <c r="C99" s="11">
        <f>INDEX(PlasticsUse!$B$94:$L$111,MATCH('CompilationCalcs - EPA EOL'!$A99,PlasticsUse!$A$94:$A$108,0),MATCH('CompilationCalcs - EPA EOL'!$B99,PlasticsUse!$B$93:$L$93,0))</f>
        <v>0</v>
      </c>
      <c r="F99" t="s">
        <v>4</v>
      </c>
      <c r="G99" s="11">
        <f>INDEX(EndOfLife!$B$6:$E$14,MATCH($A99,EndOfLife!$A$6:$A$14,0),MATCH($F99,EndOfLife!$B$5:$E$5,0))*INDEX(PlasticsUse!$B$27:$L$41,MATCH('CompilationCalcs - EPA EOL'!$A99,PlasticsUse!$A$27:$A$41,0),MATCH('CompilationCalcs - EPA EOL'!$B99,PlasticsUse!$B$26:$L$26,0))</f>
        <v>0</v>
      </c>
    </row>
    <row r="100" spans="1:7" x14ac:dyDescent="0.2">
      <c r="A100" t="s">
        <v>7</v>
      </c>
      <c r="B100" t="s">
        <v>86</v>
      </c>
      <c r="C100" s="11">
        <f>INDEX(PlasticsUse!$B$94:$L$111,MATCH('CompilationCalcs - EPA EOL'!$A100,PlasticsUse!$A$94:$A$108,0),MATCH('CompilationCalcs - EPA EOL'!$B100,PlasticsUse!$B$93:$L$93,0))</f>
        <v>0.2221145175819659</v>
      </c>
      <c r="F100" t="s">
        <v>4</v>
      </c>
      <c r="G100" s="11">
        <f>INDEX(EndOfLife!$B$6:$E$14,MATCH($A100,EndOfLife!$A$6:$A$14,0),MATCH($F100,EndOfLife!$B$5:$E$5,0))*INDEX(PlasticsUse!$B$27:$L$41,MATCH('CompilationCalcs - EPA EOL'!$A100,PlasticsUse!$A$27:$A$41,0),MATCH('CompilationCalcs - EPA EOL'!$B100,PlasticsUse!$B$26:$L$26,0))</f>
        <v>0</v>
      </c>
    </row>
    <row r="101" spans="1:7" x14ac:dyDescent="0.2">
      <c r="A101" t="s">
        <v>7</v>
      </c>
      <c r="B101" t="s">
        <v>18</v>
      </c>
      <c r="C101" s="11">
        <f>INDEX(PlasticsUse!$B$94:$L$111,MATCH('CompilationCalcs - EPA EOL'!$A101,PlasticsUse!$A$94:$A$108,0),MATCH('CompilationCalcs - EPA EOL'!$B101,PlasticsUse!$B$93:$L$93,0))</f>
        <v>0.2221145175819659</v>
      </c>
      <c r="F101" t="s">
        <v>4</v>
      </c>
      <c r="G101" s="11">
        <v>0</v>
      </c>
    </row>
    <row r="102" spans="1:7" x14ac:dyDescent="0.2">
      <c r="A102" t="s">
        <v>7</v>
      </c>
      <c r="B102" t="s">
        <v>38</v>
      </c>
      <c r="C102" s="11"/>
      <c r="F102" t="s">
        <v>5</v>
      </c>
      <c r="G102" s="11">
        <f>INDEX(EndOfLife!$B$6:$E$14,MATCH($A102,EndOfLife!$A$6:$A$14,0),MATCH($F102,EndOfLife!$B$5:$E$5,0))*INDEX(PlasticsUse!$B$27:$L$41,MATCH('CompilationCalcs - EPA EOL'!$A102,PlasticsUse!$A$27:$A$41,0),MATCH('CompilationCalcs - EPA EOL'!$B102,PlasticsUse!$B$26:$L$26,0))</f>
        <v>0</v>
      </c>
    </row>
    <row r="103" spans="1:7" x14ac:dyDescent="0.2">
      <c r="A103" t="s">
        <v>7</v>
      </c>
      <c r="B103" t="s">
        <v>99</v>
      </c>
      <c r="C103" s="11"/>
      <c r="F103" t="s">
        <v>5</v>
      </c>
      <c r="G103" s="11">
        <f>INDEX(EndOfLife!$B$6:$E$14,MATCH($A103,EndOfLife!$A$6:$A$14,0),MATCH($F103,EndOfLife!$B$5:$E$5,0))*INDEX(PlasticsUse!$B$27:$L$41,MATCH('CompilationCalcs - EPA EOL'!$A103,PlasticsUse!$A$27:$A$41,0),MATCH('CompilationCalcs - EPA EOL'!$B103,PlasticsUse!$B$26:$L$26,0))</f>
        <v>0</v>
      </c>
    </row>
    <row r="104" spans="1:7" x14ac:dyDescent="0.2">
      <c r="A104" t="s">
        <v>7</v>
      </c>
      <c r="B104" t="s">
        <v>69</v>
      </c>
      <c r="C104" s="11"/>
      <c r="F104" t="s">
        <v>5</v>
      </c>
      <c r="G104" s="11">
        <f>INDEX(EndOfLife!$B$6:$E$14,MATCH($A104,EndOfLife!$A$6:$A$14,0),MATCH($F104,EndOfLife!$B$5:$E$5,0))*INDEX(PlasticsUse!$B$27:$L$41,MATCH('CompilationCalcs - EPA EOL'!$A104,PlasticsUse!$A$27:$A$41,0),MATCH('CompilationCalcs - EPA EOL'!$B104,PlasticsUse!$B$26:$L$26,0))</f>
        <v>0</v>
      </c>
    </row>
    <row r="105" spans="1:7" x14ac:dyDescent="0.2">
      <c r="A105" t="s">
        <v>7</v>
      </c>
      <c r="B105" t="s">
        <v>100</v>
      </c>
      <c r="C105" s="11"/>
      <c r="F105" t="s">
        <v>5</v>
      </c>
      <c r="G105" s="11">
        <f>INDEX(EndOfLife!$B$6:$E$14,MATCH($A105,EndOfLife!$A$6:$A$14,0),MATCH($F105,EndOfLife!$B$5:$E$5,0))*INDEX(PlasticsUse!$B$27:$L$41,MATCH('CompilationCalcs - EPA EOL'!$A105,PlasticsUse!$A$27:$A$41,0),MATCH('CompilationCalcs - EPA EOL'!$B105,PlasticsUse!$B$26:$L$26,0))</f>
        <v>0</v>
      </c>
    </row>
    <row r="106" spans="1:7" x14ac:dyDescent="0.2">
      <c r="A106" t="s">
        <v>7</v>
      </c>
      <c r="B106" t="s">
        <v>39</v>
      </c>
      <c r="C106" s="11"/>
      <c r="F106" t="s">
        <v>5</v>
      </c>
      <c r="G106" s="11">
        <f>INDEX(EndOfLife!$B$6:$E$14,MATCH($A106,EndOfLife!$A$6:$A$14,0),MATCH($F106,EndOfLife!$B$5:$E$5,0))*INDEX(PlasticsUse!$B$27:$L$41,MATCH('CompilationCalcs - EPA EOL'!$A106,PlasticsUse!$A$27:$A$41,0),MATCH('CompilationCalcs - EPA EOL'!$B106,PlasticsUse!$B$26:$L$26,0))</f>
        <v>0</v>
      </c>
    </row>
    <row r="107" spans="1:7" x14ac:dyDescent="0.2">
      <c r="A107" t="s">
        <v>7</v>
      </c>
      <c r="B107" t="s">
        <v>68</v>
      </c>
      <c r="C107" s="11"/>
      <c r="F107" t="s">
        <v>5</v>
      </c>
      <c r="G107" s="11">
        <f>INDEX(EndOfLife!$B$6:$E$14,MATCH($A107,EndOfLife!$A$6:$A$14,0),MATCH($F107,EndOfLife!$B$5:$E$5,0))*INDEX(PlasticsUse!$B$27:$L$41,MATCH('CompilationCalcs - EPA EOL'!$A107,PlasticsUse!$A$27:$A$41,0),MATCH('CompilationCalcs - EPA EOL'!$B107,PlasticsUse!$B$26:$L$26,0))</f>
        <v>0</v>
      </c>
    </row>
    <row r="108" spans="1:7" x14ac:dyDescent="0.2">
      <c r="A108" t="s">
        <v>7</v>
      </c>
      <c r="B108" t="s">
        <v>91</v>
      </c>
      <c r="C108" s="11"/>
      <c r="F108" t="s">
        <v>5</v>
      </c>
      <c r="G108" s="11" t="e">
        <f>INDEX(EndOfLife!$B$6:$E$14,MATCH($A108,EndOfLife!$A$6:$A$14,0),MATCH($F108,EndOfLife!$B$5:$E$5,0))*INDEX(PlasticsUse!$B$27:$L$41,MATCH('CompilationCalcs - EPA EOL'!$A108,PlasticsUse!$A$27:$A$41,0),MATCH('CompilationCalcs - EPA EOL'!$B108,PlasticsUse!$B$26:$L$26,0))</f>
        <v>#N/A</v>
      </c>
    </row>
    <row r="109" spans="1:7" x14ac:dyDescent="0.2">
      <c r="A109" t="s">
        <v>7</v>
      </c>
      <c r="B109" t="s">
        <v>92</v>
      </c>
      <c r="C109" s="11"/>
      <c r="F109" t="s">
        <v>5</v>
      </c>
      <c r="G109" s="11">
        <f>INDEX(EndOfLife!$B$6:$E$14,MATCH($A109,EndOfLife!$A$6:$A$14,0),MATCH($F109,EndOfLife!$B$5:$E$5,0))*INDEX(PlasticsUse!$B$27:$L$41,MATCH('CompilationCalcs - EPA EOL'!$A109,PlasticsUse!$A$27:$A$41,0),MATCH('CompilationCalcs - EPA EOL'!$B109,PlasticsUse!$B$26:$L$26,0))</f>
        <v>0</v>
      </c>
    </row>
    <row r="110" spans="1:7" x14ac:dyDescent="0.2">
      <c r="A110" t="s">
        <v>7</v>
      </c>
      <c r="B110" t="s">
        <v>103</v>
      </c>
      <c r="C110" s="11"/>
      <c r="F110" t="s">
        <v>5</v>
      </c>
      <c r="G110" s="11">
        <f>INDEX(EndOfLife!$B$6:$E$14,MATCH($A110,EndOfLife!$A$6:$A$14,0),MATCH($F110,EndOfLife!$B$5:$E$5,0))*INDEX(PlasticsUse!$B$27:$L$41,MATCH('CompilationCalcs - EPA EOL'!$A110,PlasticsUse!$A$27:$A$41,0),MATCH('CompilationCalcs - EPA EOL'!$B110,PlasticsUse!$B$26:$L$26,0))</f>
        <v>0</v>
      </c>
    </row>
    <row r="111" spans="1:7" x14ac:dyDescent="0.2">
      <c r="A111" t="s">
        <v>7</v>
      </c>
      <c r="B111" t="s">
        <v>86</v>
      </c>
      <c r="C111" s="11"/>
      <c r="F111" t="s">
        <v>5</v>
      </c>
      <c r="G111" s="11">
        <f>INDEX(EndOfLife!$B$6:$E$14,MATCH($A111,EndOfLife!$A$6:$A$14,0),MATCH($F111,EndOfLife!$B$5:$E$5,0))*INDEX(PlasticsUse!$B$27:$L$41,MATCH('CompilationCalcs - EPA EOL'!$A111,PlasticsUse!$A$27:$A$41,0),MATCH('CompilationCalcs - EPA EOL'!$B111,PlasticsUse!$B$26:$L$26,0))</f>
        <v>0</v>
      </c>
    </row>
    <row r="112" spans="1:7" x14ac:dyDescent="0.2">
      <c r="A112" t="s">
        <v>7</v>
      </c>
      <c r="B112" t="s">
        <v>18</v>
      </c>
      <c r="C112" s="11"/>
      <c r="F112" t="s">
        <v>5</v>
      </c>
      <c r="G112" s="11">
        <v>0</v>
      </c>
    </row>
    <row r="113" spans="1:7" x14ac:dyDescent="0.2">
      <c r="A113" t="s">
        <v>7</v>
      </c>
      <c r="B113" t="s">
        <v>38</v>
      </c>
      <c r="C113" s="11"/>
      <c r="F113" t="s">
        <v>6</v>
      </c>
      <c r="G113" s="11">
        <f>INDEX(EndOfLife!$B$6:$E$14,MATCH($A113,EndOfLife!$A$6:$A$14,0),MATCH($F113,EndOfLife!$B$5:$E$5,0))*INDEX(PlasticsUse!$B$27:$L$41,MATCH('CompilationCalcs - EPA EOL'!$A113,PlasticsUse!$A$27:$A$41,0),MATCH('CompilationCalcs - EPA EOL'!$B113,PlasticsUse!$B$26:$L$26,0))</f>
        <v>0</v>
      </c>
    </row>
    <row r="114" spans="1:7" x14ac:dyDescent="0.2">
      <c r="A114" t="s">
        <v>7</v>
      </c>
      <c r="B114" t="s">
        <v>99</v>
      </c>
      <c r="C114" s="11"/>
      <c r="F114" t="s">
        <v>6</v>
      </c>
      <c r="G114" s="11">
        <f>INDEX(EndOfLife!$B$6:$E$14,MATCH($A114,EndOfLife!$A$6:$A$14,0),MATCH($F114,EndOfLife!$B$5:$E$5,0))*INDEX(PlasticsUse!$B$27:$L$41,MATCH('CompilationCalcs - EPA EOL'!$A114,PlasticsUse!$A$27:$A$41,0),MATCH('CompilationCalcs - EPA EOL'!$B114,PlasticsUse!$B$26:$L$26,0))</f>
        <v>0</v>
      </c>
    </row>
    <row r="115" spans="1:7" x14ac:dyDescent="0.2">
      <c r="A115" t="s">
        <v>7</v>
      </c>
      <c r="B115" t="s">
        <v>69</v>
      </c>
      <c r="C115" s="11"/>
      <c r="F115" t="s">
        <v>6</v>
      </c>
      <c r="G115" s="11">
        <f>INDEX(EndOfLife!$B$6:$E$14,MATCH($A115,EndOfLife!$A$6:$A$14,0),MATCH($F115,EndOfLife!$B$5:$E$5,0))*INDEX(PlasticsUse!$B$27:$L$41,MATCH('CompilationCalcs - EPA EOL'!$A115,PlasticsUse!$A$27:$A$41,0),MATCH('CompilationCalcs - EPA EOL'!$B115,PlasticsUse!$B$26:$L$26,0))</f>
        <v>0</v>
      </c>
    </row>
    <row r="116" spans="1:7" x14ac:dyDescent="0.2">
      <c r="A116" t="s">
        <v>7</v>
      </c>
      <c r="B116" t="s">
        <v>100</v>
      </c>
      <c r="C116" s="11"/>
      <c r="F116" t="s">
        <v>6</v>
      </c>
      <c r="G116" s="11">
        <f>INDEX(EndOfLife!$B$6:$E$14,MATCH($A116,EndOfLife!$A$6:$A$14,0),MATCH($F116,EndOfLife!$B$5:$E$5,0))*INDEX(PlasticsUse!$B$27:$L$41,MATCH('CompilationCalcs - EPA EOL'!$A116,PlasticsUse!$A$27:$A$41,0),MATCH('CompilationCalcs - EPA EOL'!$B116,PlasticsUse!$B$26:$L$26,0))</f>
        <v>0</v>
      </c>
    </row>
    <row r="117" spans="1:7" x14ac:dyDescent="0.2">
      <c r="A117" t="s">
        <v>7</v>
      </c>
      <c r="B117" t="s">
        <v>39</v>
      </c>
      <c r="C117" s="11"/>
      <c r="F117" t="s">
        <v>6</v>
      </c>
      <c r="G117" s="11">
        <f>INDEX(EndOfLife!$B$6:$E$14,MATCH($A117,EndOfLife!$A$6:$A$14,0),MATCH($F117,EndOfLife!$B$5:$E$5,0))*INDEX(PlasticsUse!$B$27:$L$41,MATCH('CompilationCalcs - EPA EOL'!$A117,PlasticsUse!$A$27:$A$41,0),MATCH('CompilationCalcs - EPA EOL'!$B117,PlasticsUse!$B$26:$L$26,0))</f>
        <v>0</v>
      </c>
    </row>
    <row r="118" spans="1:7" x14ac:dyDescent="0.2">
      <c r="A118" t="s">
        <v>7</v>
      </c>
      <c r="B118" t="s">
        <v>68</v>
      </c>
      <c r="C118" s="11"/>
      <c r="F118" t="s">
        <v>6</v>
      </c>
      <c r="G118" s="11">
        <f>INDEX(EndOfLife!$B$6:$E$14,MATCH($A118,EndOfLife!$A$6:$A$14,0),MATCH($F118,EndOfLife!$B$5:$E$5,0))*INDEX(PlasticsUse!$B$27:$L$41,MATCH('CompilationCalcs - EPA EOL'!$A118,PlasticsUse!$A$27:$A$41,0),MATCH('CompilationCalcs - EPA EOL'!$B118,PlasticsUse!$B$26:$L$26,0))</f>
        <v>0</v>
      </c>
    </row>
    <row r="119" spans="1:7" x14ac:dyDescent="0.2">
      <c r="A119" t="s">
        <v>7</v>
      </c>
      <c r="B119" t="s">
        <v>91</v>
      </c>
      <c r="C119" s="11"/>
      <c r="F119" t="s">
        <v>6</v>
      </c>
      <c r="G119" s="11" t="e">
        <f>INDEX(EndOfLife!$B$6:$E$14,MATCH($A119,EndOfLife!$A$6:$A$14,0),MATCH($F119,EndOfLife!$B$5:$E$5,0))*INDEX(PlasticsUse!$B$27:$L$41,MATCH('CompilationCalcs - EPA EOL'!$A119,PlasticsUse!$A$27:$A$41,0),MATCH('CompilationCalcs - EPA EOL'!$B119,PlasticsUse!$B$26:$L$26,0))</f>
        <v>#N/A</v>
      </c>
    </row>
    <row r="120" spans="1:7" x14ac:dyDescent="0.2">
      <c r="A120" t="s">
        <v>7</v>
      </c>
      <c r="B120" t="s">
        <v>92</v>
      </c>
      <c r="C120" s="11"/>
      <c r="F120" t="s">
        <v>6</v>
      </c>
      <c r="G120" s="11">
        <f>INDEX(EndOfLife!$B$6:$E$14,MATCH($A120,EndOfLife!$A$6:$A$14,0),MATCH($F120,EndOfLife!$B$5:$E$5,0))*INDEX(PlasticsUse!$B$27:$L$41,MATCH('CompilationCalcs - EPA EOL'!$A120,PlasticsUse!$A$27:$A$41,0),MATCH('CompilationCalcs - EPA EOL'!$B120,PlasticsUse!$B$26:$L$26,0))</f>
        <v>0</v>
      </c>
    </row>
    <row r="121" spans="1:7" x14ac:dyDescent="0.2">
      <c r="A121" t="s">
        <v>7</v>
      </c>
      <c r="B121" t="s">
        <v>103</v>
      </c>
      <c r="C121" s="11"/>
      <c r="F121" t="s">
        <v>6</v>
      </c>
      <c r="G121" s="11">
        <f>INDEX(EndOfLife!$B$6:$E$14,MATCH($A121,EndOfLife!$A$6:$A$14,0),MATCH($F121,EndOfLife!$B$5:$E$5,0))*INDEX(PlasticsUse!$B$27:$L$41,MATCH('CompilationCalcs - EPA EOL'!$A121,PlasticsUse!$A$27:$A$41,0),MATCH('CompilationCalcs - EPA EOL'!$B121,PlasticsUse!$B$26:$L$26,0))</f>
        <v>0</v>
      </c>
    </row>
    <row r="122" spans="1:7" x14ac:dyDescent="0.2">
      <c r="A122" t="s">
        <v>7</v>
      </c>
      <c r="B122" t="s">
        <v>86</v>
      </c>
      <c r="C122" s="11"/>
      <c r="F122" t="s">
        <v>6</v>
      </c>
      <c r="G122" s="11">
        <f>INDEX(EndOfLife!$B$6:$E$14,MATCH($A122,EndOfLife!$A$6:$A$14,0),MATCH($F122,EndOfLife!$B$5:$E$5,0))*INDEX(PlasticsUse!$B$27:$L$41,MATCH('CompilationCalcs - EPA EOL'!$A122,PlasticsUse!$A$27:$A$41,0),MATCH('CompilationCalcs - EPA EOL'!$B122,PlasticsUse!$B$26:$L$26,0))</f>
        <v>0</v>
      </c>
    </row>
    <row r="123" spans="1:7" x14ac:dyDescent="0.2">
      <c r="A123" t="s">
        <v>7</v>
      </c>
      <c r="B123" t="s">
        <v>18</v>
      </c>
      <c r="C123" s="11"/>
      <c r="F123" t="s">
        <v>6</v>
      </c>
      <c r="G123" s="11">
        <v>0</v>
      </c>
    </row>
    <row r="124" spans="1:7" x14ac:dyDescent="0.2">
      <c r="A124" t="s">
        <v>8</v>
      </c>
      <c r="B124" t="s">
        <v>38</v>
      </c>
      <c r="C124" s="11">
        <f>INDEX(PlasticsUse!$B$94:$L$111,MATCH('CompilationCalcs - EPA EOL'!$A124,PlasticsUse!$A$94:$A$108,0),MATCH('CompilationCalcs - EPA EOL'!$B124,PlasticsUse!$B$93:$L$93,0))</f>
        <v>0.24274729590067587</v>
      </c>
      <c r="F124" t="s">
        <v>4</v>
      </c>
      <c r="G124" s="11">
        <f>INDEX(EndOfLife!$B$6:$E$14,MATCH($A124,EndOfLife!$A$6:$A$14,0),MATCH($F124,EndOfLife!$B$5:$E$5,0))*INDEX(PlasticsUse!$B$27:$L$41,MATCH('CompilationCalcs - EPA EOL'!$A124,PlasticsUse!$A$27:$A$41,0),MATCH('CompilationCalcs - EPA EOL'!$B124,PlasticsUse!$B$26:$L$26,0))</f>
        <v>3.0577956433849963E-2</v>
      </c>
    </row>
    <row r="125" spans="1:7" x14ac:dyDescent="0.2">
      <c r="A125" t="s">
        <v>8</v>
      </c>
      <c r="B125" t="s">
        <v>99</v>
      </c>
      <c r="C125" s="11">
        <f>INDEX(PlasticsUse!$B$94:$L$111,MATCH('CompilationCalcs - EPA EOL'!$A125,PlasticsUse!$A$94:$A$108,0),MATCH('CompilationCalcs - EPA EOL'!$B125,PlasticsUse!$B$93:$L$93,0))</f>
        <v>0.27135320760582887</v>
      </c>
      <c r="F125" t="s">
        <v>4</v>
      </c>
      <c r="G125" s="11">
        <f>INDEX(EndOfLife!$B$6:$E$14,MATCH($A125,EndOfLife!$A$6:$A$14,0),MATCH($F125,EndOfLife!$B$5:$E$5,0))*INDEX(PlasticsUse!$B$27:$L$41,MATCH('CompilationCalcs - EPA EOL'!$A125,PlasticsUse!$A$27:$A$41,0),MATCH('CompilationCalcs - EPA EOL'!$B125,PlasticsUse!$B$26:$L$26,0))</f>
        <v>3.0577956433849963E-2</v>
      </c>
    </row>
    <row r="126" spans="1:7" x14ac:dyDescent="0.2">
      <c r="A126" t="s">
        <v>8</v>
      </c>
      <c r="B126" t="s">
        <v>69</v>
      </c>
      <c r="C126" s="11">
        <f>INDEX(PlasticsUse!$B$94:$L$111,MATCH('CompilationCalcs - EPA EOL'!$A126,PlasticsUse!$A$94:$A$108,0),MATCH('CompilationCalcs - EPA EOL'!$B126,PlasticsUse!$B$93:$L$93,0))</f>
        <v>0.30217967465095941</v>
      </c>
      <c r="F126" t="s">
        <v>4</v>
      </c>
      <c r="G126" s="11">
        <f>INDEX(EndOfLife!$B$6:$E$14,MATCH($A126,EndOfLife!$A$6:$A$14,0),MATCH($F126,EndOfLife!$B$5:$E$5,0))*INDEX(PlasticsUse!$B$27:$L$41,MATCH('CompilationCalcs - EPA EOL'!$A126,PlasticsUse!$A$27:$A$41,0),MATCH('CompilationCalcs - EPA EOL'!$B126,PlasticsUse!$B$26:$L$26,0))</f>
        <v>3.0577956433849963E-2</v>
      </c>
    </row>
    <row r="127" spans="1:7" x14ac:dyDescent="0.2">
      <c r="A127" t="s">
        <v>8</v>
      </c>
      <c r="B127" t="s">
        <v>100</v>
      </c>
      <c r="C127" s="11">
        <f>INDEX(PlasticsUse!$B$94:$L$111,MATCH('CompilationCalcs - EPA EOL'!$A127,PlasticsUse!$A$94:$A$108,0),MATCH('CompilationCalcs - EPA EOL'!$B127,PlasticsUse!$B$93:$L$93,0))</f>
        <v>0.24274729590067587</v>
      </c>
      <c r="F127" t="s">
        <v>4</v>
      </c>
      <c r="G127" s="11">
        <f>INDEX(EndOfLife!$B$6:$E$14,MATCH($A127,EndOfLife!$A$6:$A$14,0),MATCH($F127,EndOfLife!$B$5:$E$5,0))*INDEX(PlasticsUse!$B$27:$L$41,MATCH('CompilationCalcs - EPA EOL'!$A127,PlasticsUse!$A$27:$A$41,0),MATCH('CompilationCalcs - EPA EOL'!$B127,PlasticsUse!$B$26:$L$26,0))</f>
        <v>3.0577956433849963E-2</v>
      </c>
    </row>
    <row r="128" spans="1:7" x14ac:dyDescent="0.2">
      <c r="A128" t="s">
        <v>8</v>
      </c>
      <c r="B128" t="s">
        <v>39</v>
      </c>
      <c r="C128" s="11">
        <f>INDEX(PlasticsUse!$B$94:$L$111,MATCH('CompilationCalcs - EPA EOL'!$A128,PlasticsUse!$A$94:$A$108,0),MATCH('CompilationCalcs - EPA EOL'!$B128,PlasticsUse!$B$93:$L$93,0))</f>
        <v>0.28918058827373766</v>
      </c>
      <c r="F128" t="s">
        <v>4</v>
      </c>
      <c r="G128" s="11">
        <f>INDEX(EndOfLife!$B$6:$E$14,MATCH($A128,EndOfLife!$A$6:$A$14,0),MATCH($F128,EndOfLife!$B$5:$E$5,0))*INDEX(PlasticsUse!$B$27:$L$41,MATCH('CompilationCalcs - EPA EOL'!$A128,PlasticsUse!$A$27:$A$41,0),MATCH('CompilationCalcs - EPA EOL'!$B128,PlasticsUse!$B$26:$L$26,0))</f>
        <v>3.0577956433849963E-2</v>
      </c>
    </row>
    <row r="129" spans="1:7" x14ac:dyDescent="0.2">
      <c r="A129" t="s">
        <v>8</v>
      </c>
      <c r="B129" t="s">
        <v>68</v>
      </c>
      <c r="C129" s="11">
        <f>INDEX(PlasticsUse!$B$94:$L$111,MATCH('CompilationCalcs - EPA EOL'!$A129,PlasticsUse!$A$94:$A$108,0),MATCH('CompilationCalcs - EPA EOL'!$B129,PlasticsUse!$B$93:$L$93,0))</f>
        <v>0.31864279535503576</v>
      </c>
      <c r="F129" t="s">
        <v>4</v>
      </c>
      <c r="G129" s="11">
        <f>INDEX(EndOfLife!$B$6:$E$14,MATCH($A129,EndOfLife!$A$6:$A$14,0),MATCH($F129,EndOfLife!$B$5:$E$5,0))*INDEX(PlasticsUse!$B$27:$L$41,MATCH('CompilationCalcs - EPA EOL'!$A129,PlasticsUse!$A$27:$A$41,0),MATCH('CompilationCalcs - EPA EOL'!$B129,PlasticsUse!$B$26:$L$26,0))</f>
        <v>3.0577956433849963E-2</v>
      </c>
    </row>
    <row r="130" spans="1:7" x14ac:dyDescent="0.2">
      <c r="A130" t="s">
        <v>8</v>
      </c>
      <c r="B130" t="s">
        <v>91</v>
      </c>
      <c r="C130" s="11" t="e">
        <f>INDEX(PlasticsUse!$B$94:$L$111,MATCH('CompilationCalcs - EPA EOL'!$A130,PlasticsUse!$A$94:$A$108,0),MATCH('CompilationCalcs - EPA EOL'!$B130,PlasticsUse!$B$93:$L$93,0))</f>
        <v>#N/A</v>
      </c>
      <c r="F130" t="s">
        <v>4</v>
      </c>
      <c r="G130" s="11" t="e">
        <f>INDEX(EndOfLife!$B$6:$E$14,MATCH($A130,EndOfLife!$A$6:$A$14,0),MATCH($F130,EndOfLife!$B$5:$E$5,0))*INDEX(PlasticsUse!$B$27:$L$41,MATCH('CompilationCalcs - EPA EOL'!$A130,PlasticsUse!$A$27:$A$41,0),MATCH('CompilationCalcs - EPA EOL'!$B130,PlasticsUse!$B$26:$L$26,0))</f>
        <v>#N/A</v>
      </c>
    </row>
    <row r="131" spans="1:7" x14ac:dyDescent="0.2">
      <c r="A131" t="s">
        <v>8</v>
      </c>
      <c r="B131" t="s">
        <v>92</v>
      </c>
      <c r="C131" s="11">
        <f>INDEX(PlasticsUse!$B$94:$L$111,MATCH('CompilationCalcs - EPA EOL'!$A131,PlasticsUse!$A$94:$A$108,0),MATCH('CompilationCalcs - EPA EOL'!$B131,PlasticsUse!$B$93:$L$93,0))</f>
        <v>0.24274729590067587</v>
      </c>
      <c r="F131" t="s">
        <v>4</v>
      </c>
      <c r="G131" s="11">
        <f>INDEX(EndOfLife!$B$6:$E$14,MATCH($A131,EndOfLife!$A$6:$A$14,0),MATCH($F131,EndOfLife!$B$5:$E$5,0))*INDEX(PlasticsUse!$B$27:$L$41,MATCH('CompilationCalcs - EPA EOL'!$A131,PlasticsUse!$A$27:$A$41,0),MATCH('CompilationCalcs - EPA EOL'!$B131,PlasticsUse!$B$26:$L$26,0))</f>
        <v>3.0577956433849963E-2</v>
      </c>
    </row>
    <row r="132" spans="1:7" x14ac:dyDescent="0.2">
      <c r="A132" t="s">
        <v>8</v>
      </c>
      <c r="B132" t="s">
        <v>103</v>
      </c>
      <c r="C132" s="11">
        <f>INDEX(PlasticsUse!$B$94:$L$111,MATCH('CompilationCalcs - EPA EOL'!$A132,PlasticsUse!$A$94:$A$108,0),MATCH('CompilationCalcs - EPA EOL'!$B132,PlasticsUse!$B$93:$L$93,0))</f>
        <v>0</v>
      </c>
      <c r="F132" t="s">
        <v>4</v>
      </c>
      <c r="G132" s="11">
        <f>INDEX(EndOfLife!$B$6:$E$14,MATCH($A132,EndOfLife!$A$6:$A$14,0),MATCH($F132,EndOfLife!$B$5:$E$5,0))*INDEX(PlasticsUse!$B$27:$L$41,MATCH('CompilationCalcs - EPA EOL'!$A132,PlasticsUse!$A$27:$A$41,0),MATCH('CompilationCalcs - EPA EOL'!$B132,PlasticsUse!$B$26:$L$26,0))</f>
        <v>0</v>
      </c>
    </row>
    <row r="133" spans="1:7" x14ac:dyDescent="0.2">
      <c r="A133" t="s">
        <v>8</v>
      </c>
      <c r="B133" t="s">
        <v>86</v>
      </c>
      <c r="C133" s="11">
        <f>INDEX(PlasticsUse!$B$94:$L$111,MATCH('CompilationCalcs - EPA EOL'!$A133,PlasticsUse!$A$94:$A$108,0),MATCH('CompilationCalcs - EPA EOL'!$B133,PlasticsUse!$B$93:$L$93,0))</f>
        <v>0.24274729590067587</v>
      </c>
      <c r="F133" t="s">
        <v>4</v>
      </c>
      <c r="G133" s="11">
        <f>INDEX(EndOfLife!$B$6:$E$14,MATCH($A133,EndOfLife!$A$6:$A$14,0),MATCH($F133,EndOfLife!$B$5:$E$5,0))*INDEX(PlasticsUse!$B$27:$L$41,MATCH('CompilationCalcs - EPA EOL'!$A133,PlasticsUse!$A$27:$A$41,0),MATCH('CompilationCalcs - EPA EOL'!$B133,PlasticsUse!$B$26:$L$26,0))</f>
        <v>3.0577956433849963E-2</v>
      </c>
    </row>
    <row r="134" spans="1:7" x14ac:dyDescent="0.2">
      <c r="A134" t="s">
        <v>8</v>
      </c>
      <c r="B134" t="s">
        <v>18</v>
      </c>
      <c r="C134" s="11">
        <f>INDEX(PlasticsUse!$B$94:$L$111,MATCH('CompilationCalcs - EPA EOL'!$A134,PlasticsUse!$A$94:$A$108,0),MATCH('CompilationCalcs - EPA EOL'!$B134,PlasticsUse!$B$93:$L$93,0))</f>
        <v>0.24274729590067587</v>
      </c>
      <c r="F134" t="s">
        <v>4</v>
      </c>
      <c r="G134" s="11">
        <v>0</v>
      </c>
    </row>
    <row r="135" spans="1:7" x14ac:dyDescent="0.2">
      <c r="A135" t="s">
        <v>8</v>
      </c>
      <c r="B135" t="s">
        <v>38</v>
      </c>
      <c r="C135" s="11"/>
      <c r="F135" t="s">
        <v>5</v>
      </c>
      <c r="G135" s="11">
        <f>INDEX(EndOfLife!$B$6:$E$14,MATCH($A135,EndOfLife!$A$6:$A$14,0),MATCH($F135,EndOfLife!$B$5:$E$5,0))*INDEX(PlasticsUse!$B$27:$L$41,MATCH('CompilationCalcs - EPA EOL'!$A135,PlasticsUse!$A$27:$A$41,0),MATCH('CompilationCalcs - EPA EOL'!$B135,PlasticsUse!$B$26:$L$26,0))</f>
        <v>0</v>
      </c>
    </row>
    <row r="136" spans="1:7" x14ac:dyDescent="0.2">
      <c r="A136" t="s">
        <v>8</v>
      </c>
      <c r="B136" t="s">
        <v>99</v>
      </c>
      <c r="C136" s="11"/>
      <c r="F136" t="s">
        <v>5</v>
      </c>
      <c r="G136" s="11">
        <f>INDEX(EndOfLife!$B$6:$E$14,MATCH($A136,EndOfLife!$A$6:$A$14,0),MATCH($F136,EndOfLife!$B$5:$E$5,0))*INDEX(PlasticsUse!$B$27:$L$41,MATCH('CompilationCalcs - EPA EOL'!$A136,PlasticsUse!$A$27:$A$41,0),MATCH('CompilationCalcs - EPA EOL'!$B136,PlasticsUse!$B$26:$L$26,0))</f>
        <v>0</v>
      </c>
    </row>
    <row r="137" spans="1:7" x14ac:dyDescent="0.2">
      <c r="A137" t="s">
        <v>8</v>
      </c>
      <c r="B137" t="s">
        <v>69</v>
      </c>
      <c r="C137" s="11"/>
      <c r="F137" t="s">
        <v>5</v>
      </c>
      <c r="G137" s="11">
        <f>INDEX(EndOfLife!$B$6:$E$14,MATCH($A137,EndOfLife!$A$6:$A$14,0),MATCH($F137,EndOfLife!$B$5:$E$5,0))*INDEX(PlasticsUse!$B$27:$L$41,MATCH('CompilationCalcs - EPA EOL'!$A137,PlasticsUse!$A$27:$A$41,0),MATCH('CompilationCalcs - EPA EOL'!$B137,PlasticsUse!$B$26:$L$26,0))</f>
        <v>0</v>
      </c>
    </row>
    <row r="138" spans="1:7" x14ac:dyDescent="0.2">
      <c r="A138" t="s">
        <v>8</v>
      </c>
      <c r="B138" t="s">
        <v>100</v>
      </c>
      <c r="C138" s="11"/>
      <c r="F138" t="s">
        <v>5</v>
      </c>
      <c r="G138" s="11">
        <f>INDEX(EndOfLife!$B$6:$E$14,MATCH($A138,EndOfLife!$A$6:$A$14,0),MATCH($F138,EndOfLife!$B$5:$E$5,0))*INDEX(PlasticsUse!$B$27:$L$41,MATCH('CompilationCalcs - EPA EOL'!$A138,PlasticsUse!$A$27:$A$41,0),MATCH('CompilationCalcs - EPA EOL'!$B138,PlasticsUse!$B$26:$L$26,0))</f>
        <v>0</v>
      </c>
    </row>
    <row r="139" spans="1:7" x14ac:dyDescent="0.2">
      <c r="A139" t="s">
        <v>8</v>
      </c>
      <c r="B139" t="s">
        <v>39</v>
      </c>
      <c r="C139" s="11"/>
      <c r="F139" t="s">
        <v>5</v>
      </c>
      <c r="G139" s="11">
        <f>INDEX(EndOfLife!$B$6:$E$14,MATCH($A139,EndOfLife!$A$6:$A$14,0),MATCH($F139,EndOfLife!$B$5:$E$5,0))*INDEX(PlasticsUse!$B$27:$L$41,MATCH('CompilationCalcs - EPA EOL'!$A139,PlasticsUse!$A$27:$A$41,0),MATCH('CompilationCalcs - EPA EOL'!$B139,PlasticsUse!$B$26:$L$26,0))</f>
        <v>0</v>
      </c>
    </row>
    <row r="140" spans="1:7" x14ac:dyDescent="0.2">
      <c r="A140" t="s">
        <v>8</v>
      </c>
      <c r="B140" t="s">
        <v>68</v>
      </c>
      <c r="C140" s="11"/>
      <c r="F140" t="s">
        <v>5</v>
      </c>
      <c r="G140" s="11">
        <f>INDEX(EndOfLife!$B$6:$E$14,MATCH($A140,EndOfLife!$A$6:$A$14,0),MATCH($F140,EndOfLife!$B$5:$E$5,0))*INDEX(PlasticsUse!$B$27:$L$41,MATCH('CompilationCalcs - EPA EOL'!$A140,PlasticsUse!$A$27:$A$41,0),MATCH('CompilationCalcs - EPA EOL'!$B140,PlasticsUse!$B$26:$L$26,0))</f>
        <v>0</v>
      </c>
    </row>
    <row r="141" spans="1:7" x14ac:dyDescent="0.2">
      <c r="A141" t="s">
        <v>8</v>
      </c>
      <c r="B141" t="s">
        <v>91</v>
      </c>
      <c r="C141" s="11"/>
      <c r="F141" t="s">
        <v>5</v>
      </c>
      <c r="G141" s="11" t="e">
        <f>INDEX(EndOfLife!$B$6:$E$14,MATCH($A141,EndOfLife!$A$6:$A$14,0),MATCH($F141,EndOfLife!$B$5:$E$5,0))*INDEX(PlasticsUse!$B$27:$L$41,MATCH('CompilationCalcs - EPA EOL'!$A141,PlasticsUse!$A$27:$A$41,0),MATCH('CompilationCalcs - EPA EOL'!$B141,PlasticsUse!$B$26:$L$26,0))</f>
        <v>#N/A</v>
      </c>
    </row>
    <row r="142" spans="1:7" x14ac:dyDescent="0.2">
      <c r="A142" t="s">
        <v>8</v>
      </c>
      <c r="B142" t="s">
        <v>92</v>
      </c>
      <c r="C142" s="11"/>
      <c r="F142" t="s">
        <v>5</v>
      </c>
      <c r="G142" s="11">
        <f>INDEX(EndOfLife!$B$6:$E$14,MATCH($A142,EndOfLife!$A$6:$A$14,0),MATCH($F142,EndOfLife!$B$5:$E$5,0))*INDEX(PlasticsUse!$B$27:$L$41,MATCH('CompilationCalcs - EPA EOL'!$A142,PlasticsUse!$A$27:$A$41,0),MATCH('CompilationCalcs - EPA EOL'!$B142,PlasticsUse!$B$26:$L$26,0))</f>
        <v>0</v>
      </c>
    </row>
    <row r="143" spans="1:7" x14ac:dyDescent="0.2">
      <c r="A143" t="s">
        <v>8</v>
      </c>
      <c r="B143" t="s">
        <v>103</v>
      </c>
      <c r="C143" s="11"/>
      <c r="F143" t="s">
        <v>5</v>
      </c>
      <c r="G143" s="11">
        <f>INDEX(EndOfLife!$B$6:$E$14,MATCH($A143,EndOfLife!$A$6:$A$14,0),MATCH($F143,EndOfLife!$B$5:$E$5,0))*INDEX(PlasticsUse!$B$27:$L$41,MATCH('CompilationCalcs - EPA EOL'!$A143,PlasticsUse!$A$27:$A$41,0),MATCH('CompilationCalcs - EPA EOL'!$B143,PlasticsUse!$B$26:$L$26,0))</f>
        <v>0</v>
      </c>
    </row>
    <row r="144" spans="1:7" x14ac:dyDescent="0.2">
      <c r="A144" t="s">
        <v>8</v>
      </c>
      <c r="B144" t="s">
        <v>86</v>
      </c>
      <c r="C144" s="11"/>
      <c r="F144" t="s">
        <v>5</v>
      </c>
      <c r="G144" s="11">
        <f>INDEX(EndOfLife!$B$6:$E$14,MATCH($A144,EndOfLife!$A$6:$A$14,0),MATCH($F144,EndOfLife!$B$5:$E$5,0))*INDEX(PlasticsUse!$B$27:$L$41,MATCH('CompilationCalcs - EPA EOL'!$A144,PlasticsUse!$A$27:$A$41,0),MATCH('CompilationCalcs - EPA EOL'!$B144,PlasticsUse!$B$26:$L$26,0))</f>
        <v>0</v>
      </c>
    </row>
    <row r="145" spans="1:7" x14ac:dyDescent="0.2">
      <c r="A145" t="s">
        <v>8</v>
      </c>
      <c r="B145" t="s">
        <v>18</v>
      </c>
      <c r="C145" s="11"/>
      <c r="F145" t="s">
        <v>5</v>
      </c>
      <c r="G145" s="11">
        <v>0</v>
      </c>
    </row>
    <row r="146" spans="1:7" x14ac:dyDescent="0.2">
      <c r="A146" t="s">
        <v>8</v>
      </c>
      <c r="B146" t="s">
        <v>38</v>
      </c>
      <c r="C146" s="11"/>
      <c r="F146" t="s">
        <v>6</v>
      </c>
      <c r="G146" s="11">
        <f>INDEX(EndOfLife!$B$6:$E$14,MATCH($A146,EndOfLife!$A$6:$A$14,0),MATCH($F146,EndOfLife!$B$5:$E$5,0))*INDEX(PlasticsUse!$B$27:$L$41,MATCH('CompilationCalcs - EPA EOL'!$A146,PlasticsUse!$A$27:$A$41,0),MATCH('CompilationCalcs - EPA EOL'!$B146,PlasticsUse!$B$26:$L$26,0))</f>
        <v>0</v>
      </c>
    </row>
    <row r="147" spans="1:7" x14ac:dyDescent="0.2">
      <c r="A147" t="s">
        <v>8</v>
      </c>
      <c r="B147" t="s">
        <v>99</v>
      </c>
      <c r="C147" s="11"/>
      <c r="F147" t="s">
        <v>6</v>
      </c>
      <c r="G147" s="11">
        <f>INDEX(EndOfLife!$B$6:$E$14,MATCH($A147,EndOfLife!$A$6:$A$14,0),MATCH($F147,EndOfLife!$B$5:$E$5,0))*INDEX(PlasticsUse!$B$27:$L$41,MATCH('CompilationCalcs - EPA EOL'!$A147,PlasticsUse!$A$27:$A$41,0),MATCH('CompilationCalcs - EPA EOL'!$B147,PlasticsUse!$B$26:$L$26,0))</f>
        <v>0</v>
      </c>
    </row>
    <row r="148" spans="1:7" x14ac:dyDescent="0.2">
      <c r="A148" t="s">
        <v>8</v>
      </c>
      <c r="B148" t="s">
        <v>69</v>
      </c>
      <c r="C148" s="11"/>
      <c r="F148" t="s">
        <v>6</v>
      </c>
      <c r="G148" s="11">
        <f>INDEX(EndOfLife!$B$6:$E$14,MATCH($A148,EndOfLife!$A$6:$A$14,0),MATCH($F148,EndOfLife!$B$5:$E$5,0))*INDEX(PlasticsUse!$B$27:$L$41,MATCH('CompilationCalcs - EPA EOL'!$A148,PlasticsUse!$A$27:$A$41,0),MATCH('CompilationCalcs - EPA EOL'!$B148,PlasticsUse!$B$26:$L$26,0))</f>
        <v>0</v>
      </c>
    </row>
    <row r="149" spans="1:7" x14ac:dyDescent="0.2">
      <c r="A149" t="s">
        <v>8</v>
      </c>
      <c r="B149" t="s">
        <v>100</v>
      </c>
      <c r="C149" s="11"/>
      <c r="F149" t="s">
        <v>6</v>
      </c>
      <c r="G149" s="11">
        <f>INDEX(EndOfLife!$B$6:$E$14,MATCH($A149,EndOfLife!$A$6:$A$14,0),MATCH($F149,EndOfLife!$B$5:$E$5,0))*INDEX(PlasticsUse!$B$27:$L$41,MATCH('CompilationCalcs - EPA EOL'!$A149,PlasticsUse!$A$27:$A$41,0),MATCH('CompilationCalcs - EPA EOL'!$B149,PlasticsUse!$B$26:$L$26,0))</f>
        <v>0</v>
      </c>
    </row>
    <row r="150" spans="1:7" x14ac:dyDescent="0.2">
      <c r="A150" t="s">
        <v>8</v>
      </c>
      <c r="B150" t="s">
        <v>39</v>
      </c>
      <c r="C150" s="11"/>
      <c r="F150" t="s">
        <v>6</v>
      </c>
      <c r="G150" s="11">
        <f>INDEX(EndOfLife!$B$6:$E$14,MATCH($A150,EndOfLife!$A$6:$A$14,0),MATCH($F150,EndOfLife!$B$5:$E$5,0))*INDEX(PlasticsUse!$B$27:$L$41,MATCH('CompilationCalcs - EPA EOL'!$A150,PlasticsUse!$A$27:$A$41,0),MATCH('CompilationCalcs - EPA EOL'!$B150,PlasticsUse!$B$26:$L$26,0))</f>
        <v>0</v>
      </c>
    </row>
    <row r="151" spans="1:7" x14ac:dyDescent="0.2">
      <c r="A151" t="s">
        <v>8</v>
      </c>
      <c r="B151" t="s">
        <v>68</v>
      </c>
      <c r="C151" s="11"/>
      <c r="F151" t="s">
        <v>6</v>
      </c>
      <c r="G151" s="11">
        <f>INDEX(EndOfLife!$B$6:$E$14,MATCH($A151,EndOfLife!$A$6:$A$14,0),MATCH($F151,EndOfLife!$B$5:$E$5,0))*INDEX(PlasticsUse!$B$27:$L$41,MATCH('CompilationCalcs - EPA EOL'!$A151,PlasticsUse!$A$27:$A$41,0),MATCH('CompilationCalcs - EPA EOL'!$B151,PlasticsUse!$B$26:$L$26,0))</f>
        <v>0</v>
      </c>
    </row>
    <row r="152" spans="1:7" x14ac:dyDescent="0.2">
      <c r="A152" t="s">
        <v>8</v>
      </c>
      <c r="B152" t="s">
        <v>91</v>
      </c>
      <c r="C152" s="11"/>
      <c r="F152" t="s">
        <v>6</v>
      </c>
      <c r="G152" s="11" t="e">
        <f>INDEX(EndOfLife!$B$6:$E$14,MATCH($A152,EndOfLife!$A$6:$A$14,0),MATCH($F152,EndOfLife!$B$5:$E$5,0))*INDEX(PlasticsUse!$B$27:$L$41,MATCH('CompilationCalcs - EPA EOL'!$A152,PlasticsUse!$A$27:$A$41,0),MATCH('CompilationCalcs - EPA EOL'!$B152,PlasticsUse!$B$26:$L$26,0))</f>
        <v>#N/A</v>
      </c>
    </row>
    <row r="153" spans="1:7" x14ac:dyDescent="0.2">
      <c r="A153" t="s">
        <v>8</v>
      </c>
      <c r="B153" t="s">
        <v>92</v>
      </c>
      <c r="C153" s="11"/>
      <c r="F153" t="s">
        <v>6</v>
      </c>
      <c r="G153" s="11">
        <f>INDEX(EndOfLife!$B$6:$E$14,MATCH($A153,EndOfLife!$A$6:$A$14,0),MATCH($F153,EndOfLife!$B$5:$E$5,0))*INDEX(PlasticsUse!$B$27:$L$41,MATCH('CompilationCalcs - EPA EOL'!$A153,PlasticsUse!$A$27:$A$41,0),MATCH('CompilationCalcs - EPA EOL'!$B153,PlasticsUse!$B$26:$L$26,0))</f>
        <v>0</v>
      </c>
    </row>
    <row r="154" spans="1:7" x14ac:dyDescent="0.2">
      <c r="A154" t="s">
        <v>8</v>
      </c>
      <c r="B154" t="s">
        <v>103</v>
      </c>
      <c r="C154" s="11"/>
      <c r="F154" t="s">
        <v>6</v>
      </c>
      <c r="G154" s="11">
        <f>INDEX(EndOfLife!$B$6:$E$14,MATCH($A154,EndOfLife!$A$6:$A$14,0),MATCH($F154,EndOfLife!$B$5:$E$5,0))*INDEX(PlasticsUse!$B$27:$L$41,MATCH('CompilationCalcs - EPA EOL'!$A154,PlasticsUse!$A$27:$A$41,0),MATCH('CompilationCalcs - EPA EOL'!$B154,PlasticsUse!$B$26:$L$26,0))</f>
        <v>0</v>
      </c>
    </row>
    <row r="155" spans="1:7" x14ac:dyDescent="0.2">
      <c r="A155" t="s">
        <v>8</v>
      </c>
      <c r="B155" t="s">
        <v>86</v>
      </c>
      <c r="C155" s="11"/>
      <c r="F155" t="s">
        <v>6</v>
      </c>
      <c r="G155" s="11">
        <f>INDEX(EndOfLife!$B$6:$E$14,MATCH($A155,EndOfLife!$A$6:$A$14,0),MATCH($F155,EndOfLife!$B$5:$E$5,0))*INDEX(PlasticsUse!$B$27:$L$41,MATCH('CompilationCalcs - EPA EOL'!$A155,PlasticsUse!$A$27:$A$41,0),MATCH('CompilationCalcs - EPA EOL'!$B155,PlasticsUse!$B$26:$L$26,0))</f>
        <v>0</v>
      </c>
    </row>
    <row r="156" spans="1:7" x14ac:dyDescent="0.2">
      <c r="A156" t="s">
        <v>8</v>
      </c>
      <c r="B156" t="s">
        <v>18</v>
      </c>
      <c r="C156" s="11"/>
      <c r="F156" t="s">
        <v>6</v>
      </c>
      <c r="G156" s="11">
        <v>0</v>
      </c>
    </row>
    <row r="157" spans="1:7" x14ac:dyDescent="0.2">
      <c r="A157" t="s">
        <v>9</v>
      </c>
      <c r="B157" t="s">
        <v>38</v>
      </c>
      <c r="C157" s="11"/>
      <c r="G157" s="11"/>
    </row>
    <row r="158" spans="1:7" x14ac:dyDescent="0.2">
      <c r="A158" t="s">
        <v>9</v>
      </c>
      <c r="B158" t="s">
        <v>99</v>
      </c>
      <c r="C158" s="11"/>
      <c r="G158" s="11"/>
    </row>
    <row r="159" spans="1:7" x14ac:dyDescent="0.2">
      <c r="A159" t="s">
        <v>9</v>
      </c>
      <c r="B159" t="s">
        <v>69</v>
      </c>
      <c r="C159" s="11"/>
      <c r="G159" s="11"/>
    </row>
    <row r="160" spans="1:7" x14ac:dyDescent="0.2">
      <c r="A160" t="s">
        <v>9</v>
      </c>
      <c r="B160" t="s">
        <v>100</v>
      </c>
      <c r="C160" s="11"/>
      <c r="G160" s="11"/>
    </row>
    <row r="161" spans="1:7" x14ac:dyDescent="0.2">
      <c r="A161" t="s">
        <v>9</v>
      </c>
      <c r="B161" t="s">
        <v>39</v>
      </c>
      <c r="C161" s="11"/>
      <c r="G161" s="11"/>
    </row>
    <row r="162" spans="1:7" x14ac:dyDescent="0.2">
      <c r="A162" t="s">
        <v>9</v>
      </c>
      <c r="B162" t="s">
        <v>68</v>
      </c>
      <c r="C162" s="11"/>
      <c r="G162" s="11"/>
    </row>
    <row r="163" spans="1:7" x14ac:dyDescent="0.2">
      <c r="A163" t="s">
        <v>9</v>
      </c>
      <c r="B163" t="s">
        <v>91</v>
      </c>
      <c r="C163" s="11"/>
      <c r="G163" s="11"/>
    </row>
    <row r="164" spans="1:7" x14ac:dyDescent="0.2">
      <c r="A164" t="s">
        <v>9</v>
      </c>
      <c r="B164" t="s">
        <v>92</v>
      </c>
      <c r="C164" s="11"/>
      <c r="G164" s="11"/>
    </row>
    <row r="165" spans="1:7" x14ac:dyDescent="0.2">
      <c r="A165" t="s">
        <v>9</v>
      </c>
      <c r="B165" t="s">
        <v>103</v>
      </c>
      <c r="C165" s="11"/>
      <c r="G165" s="11"/>
    </row>
    <row r="166" spans="1:7" x14ac:dyDescent="0.2">
      <c r="A166" t="s">
        <v>9</v>
      </c>
      <c r="B166" t="s">
        <v>86</v>
      </c>
      <c r="C166" s="11">
        <f>EndOfLife!B11</f>
        <v>8.1818181818181818E-2</v>
      </c>
      <c r="G166" s="11"/>
    </row>
    <row r="167" spans="1:7" x14ac:dyDescent="0.2">
      <c r="A167" t="s">
        <v>9</v>
      </c>
      <c r="B167" t="s">
        <v>18</v>
      </c>
      <c r="C167" s="11"/>
      <c r="G167" s="11"/>
    </row>
    <row r="168" spans="1:7" x14ac:dyDescent="0.2">
      <c r="A168" t="s">
        <v>10</v>
      </c>
      <c r="B168" t="s">
        <v>38</v>
      </c>
      <c r="C168" s="11">
        <f>INDEX(PlasticsUse!$B$94:$L$111,MATCH('CompilationCalcs - EPA EOL'!$A168,PlasticsUse!$A$94:$A$108,0),MATCH('CompilationCalcs - EPA EOL'!$B168,PlasticsUse!$B$93:$L$93,0))</f>
        <v>0.22658575439314271</v>
      </c>
      <c r="F168" t="s">
        <v>4</v>
      </c>
      <c r="G168" s="11">
        <f>INDEX(EndOfLife!$B$6:$E$14,MATCH($A168,EndOfLife!$A$6:$A$14,0),MATCH($F168,EndOfLife!$B$5:$E$5,0))*INDEX(PlasticsUse!$B$27:$L$41,MATCH('CompilationCalcs - EPA EOL'!$A168,PlasticsUse!$A$27:$A$41,0),MATCH('CompilationCalcs - EPA EOL'!$B168,PlasticsUse!$B$26:$L$26,0))</f>
        <v>4.1321562748445895E-3</v>
      </c>
    </row>
    <row r="169" spans="1:7" x14ac:dyDescent="0.2">
      <c r="A169" t="s">
        <v>10</v>
      </c>
      <c r="B169" t="s">
        <v>99</v>
      </c>
      <c r="C169" s="11">
        <f>INDEX(PlasticsUse!$B$94:$L$111,MATCH('CompilationCalcs - EPA EOL'!$A169,PlasticsUse!$A$94:$A$108,0),MATCH('CompilationCalcs - EPA EOL'!$B169,PlasticsUse!$B$93:$L$93,0))</f>
        <v>0.25328715207407843</v>
      </c>
      <c r="F169" t="s">
        <v>4</v>
      </c>
      <c r="G169" s="11">
        <f>INDEX(EndOfLife!$B$6:$E$14,MATCH($A169,EndOfLife!$A$6:$A$14,0),MATCH($F169,EndOfLife!$B$5:$E$5,0))*INDEX(PlasticsUse!$B$27:$L$41,MATCH('CompilationCalcs - EPA EOL'!$A169,PlasticsUse!$A$27:$A$41,0),MATCH('CompilationCalcs - EPA EOL'!$B169,PlasticsUse!$B$26:$L$26,0))</f>
        <v>4.1321562748445895E-3</v>
      </c>
    </row>
    <row r="170" spans="1:7" x14ac:dyDescent="0.2">
      <c r="A170" t="s">
        <v>10</v>
      </c>
      <c r="B170" t="s">
        <v>69</v>
      </c>
      <c r="C170" s="11">
        <f>INDEX(PlasticsUse!$B$94:$L$111,MATCH('CompilationCalcs - EPA EOL'!$A170,PlasticsUse!$A$94:$A$108,0),MATCH('CompilationCalcs - EPA EOL'!$B170,PlasticsUse!$B$93:$L$93,0))</f>
        <v>0.28206126576617996</v>
      </c>
      <c r="F170" t="s">
        <v>4</v>
      </c>
      <c r="G170" s="11">
        <f>INDEX(EndOfLife!$B$6:$E$14,MATCH($A170,EndOfLife!$A$6:$A$14,0),MATCH($F170,EndOfLife!$B$5:$E$5,0))*INDEX(PlasticsUse!$B$27:$L$41,MATCH('CompilationCalcs - EPA EOL'!$A170,PlasticsUse!$A$27:$A$41,0),MATCH('CompilationCalcs - EPA EOL'!$B170,PlasticsUse!$B$26:$L$26,0))</f>
        <v>4.1321562748445895E-3</v>
      </c>
    </row>
    <row r="171" spans="1:7" x14ac:dyDescent="0.2">
      <c r="A171" t="s">
        <v>10</v>
      </c>
      <c r="B171" t="s">
        <v>100</v>
      </c>
      <c r="C171" s="11">
        <f>INDEX(PlasticsUse!$B$94:$L$111,MATCH('CompilationCalcs - EPA EOL'!$A171,PlasticsUse!$A$94:$A$108,0),MATCH('CompilationCalcs - EPA EOL'!$B171,PlasticsUse!$B$93:$L$93,0))</f>
        <v>0.22658575439314271</v>
      </c>
      <c r="F171" t="s">
        <v>4</v>
      </c>
      <c r="G171" s="11">
        <f>INDEX(EndOfLife!$B$6:$E$14,MATCH($A171,EndOfLife!$A$6:$A$14,0),MATCH($F171,EndOfLife!$B$5:$E$5,0))*INDEX(PlasticsUse!$B$27:$L$41,MATCH('CompilationCalcs - EPA EOL'!$A171,PlasticsUse!$A$27:$A$41,0),MATCH('CompilationCalcs - EPA EOL'!$B171,PlasticsUse!$B$26:$L$26,0))</f>
        <v>4.1321562748445895E-3</v>
      </c>
    </row>
    <row r="172" spans="1:7" x14ac:dyDescent="0.2">
      <c r="A172" t="s">
        <v>10</v>
      </c>
      <c r="B172" t="s">
        <v>39</v>
      </c>
      <c r="C172" s="11">
        <f>INDEX(PlasticsUse!$B$94:$L$111,MATCH('CompilationCalcs - EPA EOL'!$A172,PlasticsUse!$A$94:$A$108,0),MATCH('CompilationCalcs - EPA EOL'!$B172,PlasticsUse!$B$93:$L$93,0))</f>
        <v>0.26992762785159086</v>
      </c>
      <c r="F172" t="s">
        <v>4</v>
      </c>
      <c r="G172" s="11">
        <f>INDEX(EndOfLife!$B$6:$E$14,MATCH($A172,EndOfLife!$A$6:$A$14,0),MATCH($F172,EndOfLife!$B$5:$E$5,0))*INDEX(PlasticsUse!$B$27:$L$41,MATCH('CompilationCalcs - EPA EOL'!$A172,PlasticsUse!$A$27:$A$41,0),MATCH('CompilationCalcs - EPA EOL'!$B172,PlasticsUse!$B$26:$L$26,0))</f>
        <v>4.1321562748445895E-3</v>
      </c>
    </row>
    <row r="173" spans="1:7" x14ac:dyDescent="0.2">
      <c r="A173" t="s">
        <v>10</v>
      </c>
      <c r="B173" t="s">
        <v>68</v>
      </c>
      <c r="C173" s="11">
        <f>INDEX(PlasticsUse!$B$94:$L$111,MATCH('CompilationCalcs - EPA EOL'!$A173,PlasticsUse!$A$94:$A$108,0),MATCH('CompilationCalcs - EPA EOL'!$B173,PlasticsUse!$B$93:$L$93,0))</f>
        <v>0.29742831078539544</v>
      </c>
      <c r="F173" t="s">
        <v>4</v>
      </c>
      <c r="G173" s="11">
        <f>INDEX(EndOfLife!$B$6:$E$14,MATCH($A173,EndOfLife!$A$6:$A$14,0),MATCH($F173,EndOfLife!$B$5:$E$5,0))*INDEX(PlasticsUse!$B$27:$L$41,MATCH('CompilationCalcs - EPA EOL'!$A173,PlasticsUse!$A$27:$A$41,0),MATCH('CompilationCalcs - EPA EOL'!$B173,PlasticsUse!$B$26:$L$26,0))</f>
        <v>4.1321562748445895E-3</v>
      </c>
    </row>
    <row r="174" spans="1:7" x14ac:dyDescent="0.2">
      <c r="A174" t="s">
        <v>10</v>
      </c>
      <c r="B174" t="s">
        <v>91</v>
      </c>
      <c r="C174" s="11" t="e">
        <f>INDEX(PlasticsUse!$B$94:$L$111,MATCH('CompilationCalcs - EPA EOL'!$A174,PlasticsUse!$A$94:$A$108,0),MATCH('CompilationCalcs - EPA EOL'!$B174,PlasticsUse!$B$93:$L$93,0))</f>
        <v>#N/A</v>
      </c>
      <c r="F174" t="s">
        <v>4</v>
      </c>
      <c r="G174" s="11" t="e">
        <f>INDEX(EndOfLife!$B$6:$E$14,MATCH($A174,EndOfLife!$A$6:$A$14,0),MATCH($F174,EndOfLife!$B$5:$E$5,0))*INDEX(PlasticsUse!$B$27:$L$41,MATCH('CompilationCalcs - EPA EOL'!$A174,PlasticsUse!$A$27:$A$41,0),MATCH('CompilationCalcs - EPA EOL'!$B174,PlasticsUse!$B$26:$L$26,0))</f>
        <v>#N/A</v>
      </c>
    </row>
    <row r="175" spans="1:7" x14ac:dyDescent="0.2">
      <c r="A175" t="s">
        <v>10</v>
      </c>
      <c r="B175" t="s">
        <v>92</v>
      </c>
      <c r="C175" s="11">
        <f>INDEX(PlasticsUse!$B$94:$L$111,MATCH('CompilationCalcs - EPA EOL'!$A175,PlasticsUse!$A$94:$A$108,0),MATCH('CompilationCalcs - EPA EOL'!$B175,PlasticsUse!$B$93:$L$93,0))</f>
        <v>0.22658575439314271</v>
      </c>
      <c r="F175" t="s">
        <v>4</v>
      </c>
      <c r="G175" s="11">
        <f>INDEX(EndOfLife!$B$6:$E$14,MATCH($A175,EndOfLife!$A$6:$A$14,0),MATCH($F175,EndOfLife!$B$5:$E$5,0))*INDEX(PlasticsUse!$B$27:$L$41,MATCH('CompilationCalcs - EPA EOL'!$A175,PlasticsUse!$A$27:$A$41,0),MATCH('CompilationCalcs - EPA EOL'!$B175,PlasticsUse!$B$26:$L$26,0))</f>
        <v>4.1321562748445895E-3</v>
      </c>
    </row>
    <row r="176" spans="1:7" x14ac:dyDescent="0.2">
      <c r="A176" t="s">
        <v>10</v>
      </c>
      <c r="B176" t="s">
        <v>103</v>
      </c>
      <c r="C176" s="11">
        <f>INDEX(PlasticsUse!$B$94:$L$111,MATCH('CompilationCalcs - EPA EOL'!$A176,PlasticsUse!$A$94:$A$108,0),MATCH('CompilationCalcs - EPA EOL'!$B176,PlasticsUse!$B$93:$L$93,0))</f>
        <v>0</v>
      </c>
      <c r="F176" t="s">
        <v>4</v>
      </c>
      <c r="G176" s="11">
        <f>INDEX(EndOfLife!$B$6:$E$14,MATCH($A176,EndOfLife!$A$6:$A$14,0),MATCH($F176,EndOfLife!$B$5:$E$5,0))*INDEX(PlasticsUse!$B$27:$L$41,MATCH('CompilationCalcs - EPA EOL'!$A176,PlasticsUse!$A$27:$A$41,0),MATCH('CompilationCalcs - EPA EOL'!$B176,PlasticsUse!$B$26:$L$26,0))</f>
        <v>0</v>
      </c>
    </row>
    <row r="177" spans="1:7" x14ac:dyDescent="0.2">
      <c r="A177" t="s">
        <v>10</v>
      </c>
      <c r="B177" t="s">
        <v>86</v>
      </c>
      <c r="C177" s="11">
        <f>INDEX(PlasticsUse!$B$94:$L$111,MATCH('CompilationCalcs - EPA EOL'!$A177,PlasticsUse!$A$94:$A$108,0),MATCH('CompilationCalcs - EPA EOL'!$B177,PlasticsUse!$B$93:$L$93,0))</f>
        <v>0.22658575439314271</v>
      </c>
      <c r="F177" t="s">
        <v>4</v>
      </c>
      <c r="G177" s="11">
        <f>INDEX(EndOfLife!$B$6:$E$14,MATCH($A177,EndOfLife!$A$6:$A$14,0),MATCH($F177,EndOfLife!$B$5:$E$5,0))*INDEX(PlasticsUse!$B$27:$L$41,MATCH('CompilationCalcs - EPA EOL'!$A177,PlasticsUse!$A$27:$A$41,0),MATCH('CompilationCalcs - EPA EOL'!$B177,PlasticsUse!$B$26:$L$26,0))</f>
        <v>4.1321562748445895E-3</v>
      </c>
    </row>
    <row r="178" spans="1:7" x14ac:dyDescent="0.2">
      <c r="A178" t="s">
        <v>10</v>
      </c>
      <c r="B178" t="s">
        <v>18</v>
      </c>
      <c r="C178" s="11">
        <f>INDEX(PlasticsUse!$B$94:$L$111,MATCH('CompilationCalcs - EPA EOL'!$A178,PlasticsUse!$A$94:$A$108,0),MATCH('CompilationCalcs - EPA EOL'!$B178,PlasticsUse!$B$93:$L$93,0))</f>
        <v>0.22658575439314271</v>
      </c>
      <c r="F178" t="s">
        <v>4</v>
      </c>
      <c r="G178" s="11">
        <f>INDEX(EndOfLife!$B$6:$E$14,MATCH($A178,EndOfLife!$A$6:$A$14,0),MATCH($F178,EndOfLife!$B$5:$E$5,0))*INDEX(PlasticsUse!$B$27:$L$41,MATCH('CompilationCalcs - EPA EOL'!$A178,PlasticsUse!$A$27:$A$41,0),MATCH('CompilationCalcs - EPA EOL'!$B178,PlasticsUse!$B$26:$L$26,0))</f>
        <v>4.1321562748445895E-3</v>
      </c>
    </row>
    <row r="179" spans="1:7" x14ac:dyDescent="0.2">
      <c r="A179" t="s">
        <v>10</v>
      </c>
      <c r="B179" t="s">
        <v>38</v>
      </c>
      <c r="C179" s="11"/>
      <c r="F179" t="s">
        <v>5</v>
      </c>
      <c r="G179" s="11">
        <f>INDEX(EndOfLife!$B$6:$E$14,MATCH($A179,EndOfLife!$A$6:$A$14,0),MATCH($F179,EndOfLife!$B$5:$E$5,0))*INDEX(PlasticsUse!$B$27:$L$41,MATCH('CompilationCalcs - EPA EOL'!$A179,PlasticsUse!$A$27:$A$41,0),MATCH('CompilationCalcs - EPA EOL'!$B179,PlasticsUse!$B$26:$L$26,0))</f>
        <v>0</v>
      </c>
    </row>
    <row r="180" spans="1:7" x14ac:dyDescent="0.2">
      <c r="A180" t="s">
        <v>10</v>
      </c>
      <c r="B180" t="s">
        <v>99</v>
      </c>
      <c r="C180" s="11"/>
      <c r="F180" t="s">
        <v>5</v>
      </c>
      <c r="G180" s="11">
        <f>INDEX(EndOfLife!$B$6:$E$14,MATCH($A180,EndOfLife!$A$6:$A$14,0),MATCH($F180,EndOfLife!$B$5:$E$5,0))*INDEX(PlasticsUse!$B$27:$L$41,MATCH('CompilationCalcs - EPA EOL'!$A180,PlasticsUse!$A$27:$A$41,0),MATCH('CompilationCalcs - EPA EOL'!$B180,PlasticsUse!$B$26:$L$26,0))</f>
        <v>0</v>
      </c>
    </row>
    <row r="181" spans="1:7" x14ac:dyDescent="0.2">
      <c r="A181" t="s">
        <v>10</v>
      </c>
      <c r="B181" t="s">
        <v>69</v>
      </c>
      <c r="C181" s="11"/>
      <c r="F181" t="s">
        <v>5</v>
      </c>
      <c r="G181" s="11">
        <f>INDEX(EndOfLife!$B$6:$E$14,MATCH($A181,EndOfLife!$A$6:$A$14,0),MATCH($F181,EndOfLife!$B$5:$E$5,0))*INDEX(PlasticsUse!$B$27:$L$41,MATCH('CompilationCalcs - EPA EOL'!$A181,PlasticsUse!$A$27:$A$41,0),MATCH('CompilationCalcs - EPA EOL'!$B181,PlasticsUse!$B$26:$L$26,0))</f>
        <v>0</v>
      </c>
    </row>
    <row r="182" spans="1:7" x14ac:dyDescent="0.2">
      <c r="A182" t="s">
        <v>10</v>
      </c>
      <c r="B182" t="s">
        <v>100</v>
      </c>
      <c r="C182" s="11"/>
      <c r="F182" t="s">
        <v>5</v>
      </c>
      <c r="G182" s="11">
        <f>INDEX(EndOfLife!$B$6:$E$14,MATCH($A182,EndOfLife!$A$6:$A$14,0),MATCH($F182,EndOfLife!$B$5:$E$5,0))*INDEX(PlasticsUse!$B$27:$L$41,MATCH('CompilationCalcs - EPA EOL'!$A182,PlasticsUse!$A$27:$A$41,0),MATCH('CompilationCalcs - EPA EOL'!$B182,PlasticsUse!$B$26:$L$26,0))</f>
        <v>0</v>
      </c>
    </row>
    <row r="183" spans="1:7" x14ac:dyDescent="0.2">
      <c r="A183" t="s">
        <v>10</v>
      </c>
      <c r="B183" t="s">
        <v>39</v>
      </c>
      <c r="C183" s="11"/>
      <c r="F183" t="s">
        <v>5</v>
      </c>
      <c r="G183" s="11">
        <f>INDEX(EndOfLife!$B$6:$E$14,MATCH($A183,EndOfLife!$A$6:$A$14,0),MATCH($F183,EndOfLife!$B$5:$E$5,0))*INDEX(PlasticsUse!$B$27:$L$41,MATCH('CompilationCalcs - EPA EOL'!$A183,PlasticsUse!$A$27:$A$41,0),MATCH('CompilationCalcs - EPA EOL'!$B183,PlasticsUse!$B$26:$L$26,0))</f>
        <v>0</v>
      </c>
    </row>
    <row r="184" spans="1:7" x14ac:dyDescent="0.2">
      <c r="A184" t="s">
        <v>10</v>
      </c>
      <c r="B184" t="s">
        <v>68</v>
      </c>
      <c r="C184" s="11"/>
      <c r="F184" t="s">
        <v>5</v>
      </c>
      <c r="G184" s="11">
        <f>INDEX(EndOfLife!$B$6:$E$14,MATCH($A184,EndOfLife!$A$6:$A$14,0),MATCH($F184,EndOfLife!$B$5:$E$5,0))*INDEX(PlasticsUse!$B$27:$L$41,MATCH('CompilationCalcs - EPA EOL'!$A184,PlasticsUse!$A$27:$A$41,0),MATCH('CompilationCalcs - EPA EOL'!$B184,PlasticsUse!$B$26:$L$26,0))</f>
        <v>0</v>
      </c>
    </row>
    <row r="185" spans="1:7" x14ac:dyDescent="0.2">
      <c r="A185" t="s">
        <v>10</v>
      </c>
      <c r="B185" t="s">
        <v>91</v>
      </c>
      <c r="C185" s="11"/>
      <c r="F185" t="s">
        <v>5</v>
      </c>
      <c r="G185" s="11" t="e">
        <f>INDEX(EndOfLife!$B$6:$E$14,MATCH($A185,EndOfLife!$A$6:$A$14,0),MATCH($F185,EndOfLife!$B$5:$E$5,0))*INDEX(PlasticsUse!$B$27:$L$41,MATCH('CompilationCalcs - EPA EOL'!$A185,PlasticsUse!$A$27:$A$41,0),MATCH('CompilationCalcs - EPA EOL'!$B185,PlasticsUse!$B$26:$L$26,0))</f>
        <v>#N/A</v>
      </c>
    </row>
    <row r="186" spans="1:7" x14ac:dyDescent="0.2">
      <c r="A186" t="s">
        <v>10</v>
      </c>
      <c r="B186" t="s">
        <v>92</v>
      </c>
      <c r="C186" s="11"/>
      <c r="F186" t="s">
        <v>5</v>
      </c>
      <c r="G186" s="11">
        <f>INDEX(EndOfLife!$B$6:$E$14,MATCH($A186,EndOfLife!$A$6:$A$14,0),MATCH($F186,EndOfLife!$B$5:$E$5,0))*INDEX(PlasticsUse!$B$27:$L$41,MATCH('CompilationCalcs - EPA EOL'!$A186,PlasticsUse!$A$27:$A$41,0),MATCH('CompilationCalcs - EPA EOL'!$B186,PlasticsUse!$B$26:$L$26,0))</f>
        <v>0</v>
      </c>
    </row>
    <row r="187" spans="1:7" x14ac:dyDescent="0.2">
      <c r="A187" t="s">
        <v>10</v>
      </c>
      <c r="B187" t="s">
        <v>103</v>
      </c>
      <c r="C187" s="11"/>
      <c r="F187" t="s">
        <v>5</v>
      </c>
      <c r="G187" s="11">
        <f>INDEX(EndOfLife!$B$6:$E$14,MATCH($A187,EndOfLife!$A$6:$A$14,0),MATCH($F187,EndOfLife!$B$5:$E$5,0))*INDEX(PlasticsUse!$B$27:$L$41,MATCH('CompilationCalcs - EPA EOL'!$A187,PlasticsUse!$A$27:$A$41,0),MATCH('CompilationCalcs - EPA EOL'!$B187,PlasticsUse!$B$26:$L$26,0))</f>
        <v>0</v>
      </c>
    </row>
    <row r="188" spans="1:7" x14ac:dyDescent="0.2">
      <c r="A188" t="s">
        <v>10</v>
      </c>
      <c r="B188" t="s">
        <v>86</v>
      </c>
      <c r="C188" s="11"/>
      <c r="F188" t="s">
        <v>5</v>
      </c>
      <c r="G188" s="11">
        <f>INDEX(EndOfLife!$B$6:$E$14,MATCH($A188,EndOfLife!$A$6:$A$14,0),MATCH($F188,EndOfLife!$B$5:$E$5,0))*INDEX(PlasticsUse!$B$27:$L$41,MATCH('CompilationCalcs - EPA EOL'!$A188,PlasticsUse!$A$27:$A$41,0),MATCH('CompilationCalcs - EPA EOL'!$B188,PlasticsUse!$B$26:$L$26,0))</f>
        <v>0</v>
      </c>
    </row>
    <row r="189" spans="1:7" x14ac:dyDescent="0.2">
      <c r="A189" t="s">
        <v>10</v>
      </c>
      <c r="B189" t="s">
        <v>18</v>
      </c>
      <c r="C189" s="11"/>
      <c r="F189" t="s">
        <v>5</v>
      </c>
      <c r="G189" s="11">
        <f>INDEX(EndOfLife!$B$6:$E$14,MATCH($A189,EndOfLife!$A$6:$A$14,0),MATCH($F189,EndOfLife!$B$5:$E$5,0))*INDEX(PlasticsUse!$B$27:$L$41,MATCH('CompilationCalcs - EPA EOL'!$A189,PlasticsUse!$A$27:$A$41,0),MATCH('CompilationCalcs - EPA EOL'!$B189,PlasticsUse!$B$26:$L$26,0))</f>
        <v>0</v>
      </c>
    </row>
    <row r="190" spans="1:7" x14ac:dyDescent="0.2">
      <c r="A190" t="s">
        <v>10</v>
      </c>
      <c r="B190" t="s">
        <v>99</v>
      </c>
      <c r="C190" s="11"/>
      <c r="F190" t="s">
        <v>6</v>
      </c>
      <c r="G190" s="11">
        <f>INDEX(EndOfLife!$B$6:$E$14,MATCH($A190,EndOfLife!$A$6:$A$14,0),MATCH($F190,EndOfLife!$B$5:$E$5,0))*INDEX(PlasticsUse!$B$27:$L$41,MATCH('CompilationCalcs - EPA EOL'!$A190,PlasticsUse!$A$27:$A$41,0),MATCH('CompilationCalcs - EPA EOL'!$B190,PlasticsUse!$B$26:$L$26,0))</f>
        <v>0</v>
      </c>
    </row>
    <row r="191" spans="1:7" x14ac:dyDescent="0.2">
      <c r="A191" t="s">
        <v>10</v>
      </c>
      <c r="B191" t="s">
        <v>69</v>
      </c>
      <c r="C191" s="11"/>
      <c r="F191" t="s">
        <v>6</v>
      </c>
      <c r="G191" s="11">
        <f>INDEX(EndOfLife!$B$6:$E$14,MATCH($A191,EndOfLife!$A$6:$A$14,0),MATCH($F191,EndOfLife!$B$5:$E$5,0))*INDEX(PlasticsUse!$B$27:$L$41,MATCH('CompilationCalcs - EPA EOL'!$A191,PlasticsUse!$A$27:$A$41,0),MATCH('CompilationCalcs - EPA EOL'!$B191,PlasticsUse!$B$26:$L$26,0))</f>
        <v>0</v>
      </c>
    </row>
    <row r="192" spans="1:7" x14ac:dyDescent="0.2">
      <c r="A192" t="s">
        <v>10</v>
      </c>
      <c r="B192" t="s">
        <v>100</v>
      </c>
      <c r="C192" s="11"/>
      <c r="F192" t="s">
        <v>6</v>
      </c>
      <c r="G192" s="11">
        <f>INDEX(EndOfLife!$B$6:$E$14,MATCH($A192,EndOfLife!$A$6:$A$14,0),MATCH($F192,EndOfLife!$B$5:$E$5,0))*INDEX(PlasticsUse!$B$27:$L$41,MATCH('CompilationCalcs - EPA EOL'!$A192,PlasticsUse!$A$27:$A$41,0),MATCH('CompilationCalcs - EPA EOL'!$B192,PlasticsUse!$B$26:$L$26,0))</f>
        <v>0</v>
      </c>
    </row>
    <row r="193" spans="1:7" x14ac:dyDescent="0.2">
      <c r="A193" t="s">
        <v>10</v>
      </c>
      <c r="B193" t="s">
        <v>39</v>
      </c>
      <c r="C193" s="11"/>
      <c r="F193" t="s">
        <v>6</v>
      </c>
      <c r="G193" s="11">
        <f>INDEX(EndOfLife!$B$6:$E$14,MATCH($A193,EndOfLife!$A$6:$A$14,0),MATCH($F193,EndOfLife!$B$5:$E$5,0))*INDEX(PlasticsUse!$B$27:$L$41,MATCH('CompilationCalcs - EPA EOL'!$A193,PlasticsUse!$A$27:$A$41,0),MATCH('CompilationCalcs - EPA EOL'!$B193,PlasticsUse!$B$26:$L$26,0))</f>
        <v>0</v>
      </c>
    </row>
    <row r="194" spans="1:7" x14ac:dyDescent="0.2">
      <c r="A194" t="s">
        <v>10</v>
      </c>
      <c r="B194" t="s">
        <v>68</v>
      </c>
      <c r="C194" s="11"/>
      <c r="F194" t="s">
        <v>6</v>
      </c>
      <c r="G194" s="11">
        <f>INDEX(EndOfLife!$B$6:$E$14,MATCH($A194,EndOfLife!$A$6:$A$14,0),MATCH($F194,EndOfLife!$B$5:$E$5,0))*INDEX(PlasticsUse!$B$27:$L$41,MATCH('CompilationCalcs - EPA EOL'!$A194,PlasticsUse!$A$27:$A$41,0),MATCH('CompilationCalcs - EPA EOL'!$B194,PlasticsUse!$B$26:$L$26,0))</f>
        <v>0</v>
      </c>
    </row>
    <row r="195" spans="1:7" x14ac:dyDescent="0.2">
      <c r="A195" t="s">
        <v>10</v>
      </c>
      <c r="B195" t="s">
        <v>91</v>
      </c>
      <c r="C195" s="11"/>
      <c r="F195" t="s">
        <v>6</v>
      </c>
      <c r="G195" s="11" t="e">
        <f>INDEX(EndOfLife!$B$6:$E$14,MATCH($A195,EndOfLife!$A$6:$A$14,0),MATCH($F195,EndOfLife!$B$5:$E$5,0))*INDEX(PlasticsUse!$B$27:$L$41,MATCH('CompilationCalcs - EPA EOL'!$A195,PlasticsUse!$A$27:$A$41,0),MATCH('CompilationCalcs - EPA EOL'!$B195,PlasticsUse!$B$26:$L$26,0))</f>
        <v>#N/A</v>
      </c>
    </row>
    <row r="196" spans="1:7" x14ac:dyDescent="0.2">
      <c r="A196" t="s">
        <v>10</v>
      </c>
      <c r="B196" t="s">
        <v>92</v>
      </c>
      <c r="C196" s="11"/>
      <c r="F196" t="s">
        <v>6</v>
      </c>
      <c r="G196" s="11">
        <f>INDEX(EndOfLife!$B$6:$E$14,MATCH($A196,EndOfLife!$A$6:$A$14,0),MATCH($F196,EndOfLife!$B$5:$E$5,0))*INDEX(PlasticsUse!$B$27:$L$41,MATCH('CompilationCalcs - EPA EOL'!$A196,PlasticsUse!$A$27:$A$41,0),MATCH('CompilationCalcs - EPA EOL'!$B196,PlasticsUse!$B$26:$L$26,0))</f>
        <v>0</v>
      </c>
    </row>
    <row r="197" spans="1:7" x14ac:dyDescent="0.2">
      <c r="A197" t="s">
        <v>10</v>
      </c>
      <c r="B197" t="s">
        <v>103</v>
      </c>
      <c r="C197" s="11"/>
      <c r="F197" t="s">
        <v>6</v>
      </c>
      <c r="G197" s="11">
        <f>INDEX(EndOfLife!$B$6:$E$14,MATCH($A197,EndOfLife!$A$6:$A$14,0),MATCH($F197,EndOfLife!$B$5:$E$5,0))*INDEX(PlasticsUse!$B$27:$L$41,MATCH('CompilationCalcs - EPA EOL'!$A197,PlasticsUse!$A$27:$A$41,0),MATCH('CompilationCalcs - EPA EOL'!$B197,PlasticsUse!$B$26:$L$26,0))</f>
        <v>0</v>
      </c>
    </row>
    <row r="198" spans="1:7" x14ac:dyDescent="0.2">
      <c r="A198" t="s">
        <v>10</v>
      </c>
      <c r="B198" t="s">
        <v>86</v>
      </c>
      <c r="C198" s="11"/>
      <c r="F198" t="s">
        <v>6</v>
      </c>
      <c r="G198" s="11">
        <f>INDEX(EndOfLife!$B$6:$E$14,MATCH($A198,EndOfLife!$A$6:$A$14,0),MATCH($F198,EndOfLife!$B$5:$E$5,0))*INDEX(PlasticsUse!$B$27:$L$41,MATCH('CompilationCalcs - EPA EOL'!$A198,PlasticsUse!$A$27:$A$41,0),MATCH('CompilationCalcs - EPA EOL'!$B198,PlasticsUse!$B$26:$L$26,0))</f>
        <v>0</v>
      </c>
    </row>
    <row r="199" spans="1:7" x14ac:dyDescent="0.2">
      <c r="A199" t="s">
        <v>10</v>
      </c>
      <c r="B199" t="s">
        <v>18</v>
      </c>
      <c r="C199" s="11"/>
      <c r="F199" t="s">
        <v>6</v>
      </c>
      <c r="G199" s="11">
        <f>INDEX(EndOfLife!$B$6:$E$14,MATCH($A199,EndOfLife!$A$6:$A$14,0),MATCH($F199,EndOfLife!$B$5:$E$5,0))*INDEX(PlasticsUse!$B$27:$L$41,MATCH('CompilationCalcs - EPA EOL'!$A199,PlasticsUse!$A$27:$A$41,0),MATCH('CompilationCalcs - EPA EOL'!$B199,PlasticsUse!$B$26:$L$26,0))</f>
        <v>0</v>
      </c>
    </row>
    <row r="200" spans="1:7" x14ac:dyDescent="0.2">
      <c r="A200" t="s">
        <v>11</v>
      </c>
      <c r="B200" t="s">
        <v>38</v>
      </c>
      <c r="C200" s="11">
        <f>INDEX(PlasticsUse!$B$94:$L$111,MATCH('CompilationCalcs - EPA EOL'!$A200,PlasticsUse!$A$94:$A$108,0),MATCH('CompilationCalcs - EPA EOL'!$B200,PlasticsUse!$B$93:$L$93,0))</f>
        <v>0.21138337581885186</v>
      </c>
      <c r="F200" t="s">
        <v>4</v>
      </c>
      <c r="G200" s="11">
        <f>INDEX(EndOfLife!$B$6:$E$14,MATCH($A200,EndOfLife!$A$6:$A$14,0),MATCH($F200,EndOfLife!$B$5:$E$5,0))*INDEX(PlasticsUse!$B$27:$L$41,MATCH('CompilationCalcs - EPA EOL'!$A200,PlasticsUse!$A$27:$A$41,0),MATCH('CompilationCalcs - EPA EOL'!$B200,PlasticsUse!$B$26:$L$26,0))</f>
        <v>1.6528625099378356E-3</v>
      </c>
    </row>
    <row r="201" spans="1:7" x14ac:dyDescent="0.2">
      <c r="A201" t="s">
        <v>11</v>
      </c>
      <c r="B201" t="s">
        <v>99</v>
      </c>
      <c r="C201" s="11">
        <f>INDEX(PlasticsUse!$B$94:$L$111,MATCH('CompilationCalcs - EPA EOL'!$A201,PlasticsUse!$A$94:$A$108,0),MATCH('CompilationCalcs - EPA EOL'!$B201,PlasticsUse!$B$93:$L$93,0))</f>
        <v>0.23629328948926162</v>
      </c>
      <c r="F201" t="s">
        <v>4</v>
      </c>
      <c r="G201" s="11">
        <f>INDEX(EndOfLife!$B$6:$E$14,MATCH($A201,EndOfLife!$A$6:$A$14,0),MATCH($F201,EndOfLife!$B$5:$E$5,0))*INDEX(PlasticsUse!$B$27:$L$41,MATCH('CompilationCalcs - EPA EOL'!$A201,PlasticsUse!$A$27:$A$41,0),MATCH('CompilationCalcs - EPA EOL'!$B201,PlasticsUse!$B$26:$L$26,0))</f>
        <v>1.6528625099378356E-3</v>
      </c>
    </row>
    <row r="202" spans="1:7" x14ac:dyDescent="0.2">
      <c r="A202" t="s">
        <v>11</v>
      </c>
      <c r="B202" t="s">
        <v>69</v>
      </c>
      <c r="C202" s="11">
        <f>INDEX(PlasticsUse!$B$94:$L$111,MATCH('CompilationCalcs - EPA EOL'!$A202,PlasticsUse!$A$94:$A$108,0),MATCH('CompilationCalcs - EPA EOL'!$B202,PlasticsUse!$B$93:$L$93,0))</f>
        <v>0.26313685388156899</v>
      </c>
      <c r="F202" t="s">
        <v>4</v>
      </c>
      <c r="G202" s="11">
        <f>INDEX(EndOfLife!$B$6:$E$14,MATCH($A202,EndOfLife!$A$6:$A$14,0),MATCH($F202,EndOfLife!$B$5:$E$5,0))*INDEX(PlasticsUse!$B$27:$L$41,MATCH('CompilationCalcs - EPA EOL'!$A202,PlasticsUse!$A$27:$A$41,0),MATCH('CompilationCalcs - EPA EOL'!$B202,PlasticsUse!$B$26:$L$26,0))</f>
        <v>1.6528625099378356E-3</v>
      </c>
    </row>
    <row r="203" spans="1:7" x14ac:dyDescent="0.2">
      <c r="A203" t="s">
        <v>11</v>
      </c>
      <c r="B203" t="s">
        <v>100</v>
      </c>
      <c r="C203" s="11">
        <f>INDEX(PlasticsUse!$B$94:$L$111,MATCH('CompilationCalcs - EPA EOL'!$A203,PlasticsUse!$A$94:$A$108,0),MATCH('CompilationCalcs - EPA EOL'!$B203,PlasticsUse!$B$93:$L$93,0))</f>
        <v>0.21138337581885186</v>
      </c>
      <c r="F203" t="s">
        <v>4</v>
      </c>
      <c r="G203" s="11">
        <f>INDEX(EndOfLife!$B$6:$E$14,MATCH($A203,EndOfLife!$A$6:$A$14,0),MATCH($F203,EndOfLife!$B$5:$E$5,0))*INDEX(PlasticsUse!$B$27:$L$41,MATCH('CompilationCalcs - EPA EOL'!$A203,PlasticsUse!$A$27:$A$41,0),MATCH('CompilationCalcs - EPA EOL'!$B203,PlasticsUse!$B$26:$L$26,0))</f>
        <v>1.6528625099378356E-3</v>
      </c>
    </row>
    <row r="204" spans="1:7" x14ac:dyDescent="0.2">
      <c r="A204" t="s">
        <v>11</v>
      </c>
      <c r="B204" t="s">
        <v>39</v>
      </c>
      <c r="C204" s="11">
        <f>INDEX(PlasticsUse!$B$94:$L$111,MATCH('CompilationCalcs - EPA EOL'!$A204,PlasticsUse!$A$94:$A$108,0),MATCH('CompilationCalcs - EPA EOL'!$B204,PlasticsUse!$B$93:$L$93,0))</f>
        <v>0.25181730137828473</v>
      </c>
      <c r="F204" t="s">
        <v>4</v>
      </c>
      <c r="G204" s="11">
        <f>INDEX(EndOfLife!$B$6:$E$14,MATCH($A204,EndOfLife!$A$6:$A$14,0),MATCH($F204,EndOfLife!$B$5:$E$5,0))*INDEX(PlasticsUse!$B$27:$L$41,MATCH('CompilationCalcs - EPA EOL'!$A204,PlasticsUse!$A$27:$A$41,0),MATCH('CompilationCalcs - EPA EOL'!$B204,PlasticsUse!$B$26:$L$26,0))</f>
        <v>1.6528625099378356E-3</v>
      </c>
    </row>
    <row r="205" spans="1:7" x14ac:dyDescent="0.2">
      <c r="A205" t="s">
        <v>11</v>
      </c>
      <c r="B205" t="s">
        <v>68</v>
      </c>
      <c r="C205" s="11">
        <f>INDEX(PlasticsUse!$B$94:$L$111,MATCH('CompilationCalcs - EPA EOL'!$A205,PlasticsUse!$A$94:$A$108,0),MATCH('CompilationCalcs - EPA EOL'!$B205,PlasticsUse!$B$93:$L$93,0))</f>
        <v>0.27747287364248452</v>
      </c>
      <c r="F205" t="s">
        <v>4</v>
      </c>
      <c r="G205" s="11">
        <f>INDEX(EndOfLife!$B$6:$E$14,MATCH($A205,EndOfLife!$A$6:$A$14,0),MATCH($F205,EndOfLife!$B$5:$E$5,0))*INDEX(PlasticsUse!$B$27:$L$41,MATCH('CompilationCalcs - EPA EOL'!$A205,PlasticsUse!$A$27:$A$41,0),MATCH('CompilationCalcs - EPA EOL'!$B205,PlasticsUse!$B$26:$L$26,0))</f>
        <v>1.6528625099378356E-3</v>
      </c>
    </row>
    <row r="206" spans="1:7" x14ac:dyDescent="0.2">
      <c r="A206" t="s">
        <v>11</v>
      </c>
      <c r="B206" t="s">
        <v>91</v>
      </c>
      <c r="C206" s="11" t="e">
        <f>INDEX(PlasticsUse!$B$94:$L$111,MATCH('CompilationCalcs - EPA EOL'!$A206,PlasticsUse!$A$94:$A$108,0),MATCH('CompilationCalcs - EPA EOL'!$B206,PlasticsUse!$B$93:$L$93,0))</f>
        <v>#N/A</v>
      </c>
      <c r="F206" t="s">
        <v>4</v>
      </c>
      <c r="G206" s="11" t="e">
        <f>INDEX(EndOfLife!$B$6:$E$14,MATCH($A206,EndOfLife!$A$6:$A$14,0),MATCH($F206,EndOfLife!$B$5:$E$5,0))*INDEX(PlasticsUse!$B$27:$L$41,MATCH('CompilationCalcs - EPA EOL'!$A206,PlasticsUse!$A$27:$A$41,0),MATCH('CompilationCalcs - EPA EOL'!$B206,PlasticsUse!$B$26:$L$26,0))</f>
        <v>#N/A</v>
      </c>
    </row>
    <row r="207" spans="1:7" x14ac:dyDescent="0.2">
      <c r="A207" t="s">
        <v>11</v>
      </c>
      <c r="B207" t="s">
        <v>92</v>
      </c>
      <c r="C207" s="11">
        <f>INDEX(PlasticsUse!$B$94:$L$111,MATCH('CompilationCalcs - EPA EOL'!$A207,PlasticsUse!$A$94:$A$108,0),MATCH('CompilationCalcs - EPA EOL'!$B207,PlasticsUse!$B$93:$L$93,0))</f>
        <v>0.21138337581885186</v>
      </c>
      <c r="F207" t="s">
        <v>4</v>
      </c>
      <c r="G207" s="11">
        <f>INDEX(EndOfLife!$B$6:$E$14,MATCH($A207,EndOfLife!$A$6:$A$14,0),MATCH($F207,EndOfLife!$B$5:$E$5,0))*INDEX(PlasticsUse!$B$27:$L$41,MATCH('CompilationCalcs - EPA EOL'!$A207,PlasticsUse!$A$27:$A$41,0),MATCH('CompilationCalcs - EPA EOL'!$B207,PlasticsUse!$B$26:$L$26,0))</f>
        <v>1.6528625099378356E-3</v>
      </c>
    </row>
    <row r="208" spans="1:7" x14ac:dyDescent="0.2">
      <c r="A208" t="s">
        <v>11</v>
      </c>
      <c r="B208" t="s">
        <v>103</v>
      </c>
      <c r="C208" s="11">
        <f>INDEX(PlasticsUse!$B$94:$L$111,MATCH('CompilationCalcs - EPA EOL'!$A208,PlasticsUse!$A$94:$A$108,0),MATCH('CompilationCalcs - EPA EOL'!$B208,PlasticsUse!$B$93:$L$93,0))</f>
        <v>0</v>
      </c>
      <c r="F208" t="s">
        <v>4</v>
      </c>
      <c r="G208" s="11">
        <f>INDEX(EndOfLife!$B$6:$E$14,MATCH($A208,EndOfLife!$A$6:$A$14,0),MATCH($F208,EndOfLife!$B$5:$E$5,0))*INDEX(PlasticsUse!$B$27:$L$41,MATCH('CompilationCalcs - EPA EOL'!$A208,PlasticsUse!$A$27:$A$41,0),MATCH('CompilationCalcs - EPA EOL'!$B208,PlasticsUse!$B$26:$L$26,0))</f>
        <v>0</v>
      </c>
    </row>
    <row r="209" spans="1:7" x14ac:dyDescent="0.2">
      <c r="A209" t="s">
        <v>11</v>
      </c>
      <c r="B209" t="s">
        <v>86</v>
      </c>
      <c r="C209" s="11">
        <f>INDEX(PlasticsUse!$B$94:$L$111,MATCH('CompilationCalcs - EPA EOL'!$A209,PlasticsUse!$A$94:$A$108,0),MATCH('CompilationCalcs - EPA EOL'!$B209,PlasticsUse!$B$93:$L$93,0))</f>
        <v>0.21138337581885186</v>
      </c>
      <c r="F209" t="s">
        <v>4</v>
      </c>
      <c r="G209" s="11">
        <f>INDEX(EndOfLife!$B$6:$E$14,MATCH($A209,EndOfLife!$A$6:$A$14,0),MATCH($F209,EndOfLife!$B$5:$E$5,0))*INDEX(PlasticsUse!$B$27:$L$41,MATCH('CompilationCalcs - EPA EOL'!$A209,PlasticsUse!$A$27:$A$41,0),MATCH('CompilationCalcs - EPA EOL'!$B209,PlasticsUse!$B$26:$L$26,0))</f>
        <v>1.6528625099378356E-3</v>
      </c>
    </row>
    <row r="210" spans="1:7" x14ac:dyDescent="0.2">
      <c r="A210" t="s">
        <v>11</v>
      </c>
      <c r="B210" t="s">
        <v>18</v>
      </c>
      <c r="C210" s="11">
        <f>INDEX(PlasticsUse!$B$94:$L$111,MATCH('CompilationCalcs - EPA EOL'!$A210,PlasticsUse!$A$94:$A$108,0),MATCH('CompilationCalcs - EPA EOL'!$B210,PlasticsUse!$B$93:$L$93,0))</f>
        <v>0.21138337581885186</v>
      </c>
      <c r="F210" t="s">
        <v>4</v>
      </c>
      <c r="G210" s="11">
        <f>INDEX(EndOfLife!$B$6:$E$14,MATCH($A210,EndOfLife!$A$6:$A$14,0),MATCH($F210,EndOfLife!$B$5:$E$5,0))*INDEX(PlasticsUse!$B$27:$L$41,MATCH('CompilationCalcs - EPA EOL'!$A210,PlasticsUse!$A$27:$A$41,0),MATCH('CompilationCalcs - EPA EOL'!$B210,PlasticsUse!$B$26:$L$26,0))</f>
        <v>1.6528625099378356E-3</v>
      </c>
    </row>
    <row r="211" spans="1:7" x14ac:dyDescent="0.2">
      <c r="A211" t="s">
        <v>11</v>
      </c>
      <c r="B211" t="s">
        <v>38</v>
      </c>
      <c r="C211" s="11"/>
      <c r="F211" t="s">
        <v>5</v>
      </c>
      <c r="G211" s="11">
        <f>INDEX(EndOfLife!$B$6:$E$14,MATCH($A211,EndOfLife!$A$6:$A$14,0),MATCH($F211,EndOfLife!$B$5:$E$5,0))*INDEX(PlasticsUse!$B$27:$L$41,MATCH('CompilationCalcs - EPA EOL'!$A211,PlasticsUse!$A$27:$A$41,0),MATCH('CompilationCalcs - EPA EOL'!$B211,PlasticsUse!$B$26:$L$26,0))</f>
        <v>0</v>
      </c>
    </row>
    <row r="212" spans="1:7" x14ac:dyDescent="0.2">
      <c r="A212" t="s">
        <v>11</v>
      </c>
      <c r="B212" t="s">
        <v>99</v>
      </c>
      <c r="C212" s="11"/>
      <c r="F212" t="s">
        <v>5</v>
      </c>
      <c r="G212" s="11">
        <f>INDEX(EndOfLife!$B$6:$E$14,MATCH($A212,EndOfLife!$A$6:$A$14,0),MATCH($F212,EndOfLife!$B$5:$E$5,0))*INDEX(PlasticsUse!$B$27:$L$41,MATCH('CompilationCalcs - EPA EOL'!$A212,PlasticsUse!$A$27:$A$41,0),MATCH('CompilationCalcs - EPA EOL'!$B212,PlasticsUse!$B$26:$L$26,0))</f>
        <v>0</v>
      </c>
    </row>
    <row r="213" spans="1:7" x14ac:dyDescent="0.2">
      <c r="A213" t="s">
        <v>11</v>
      </c>
      <c r="B213" t="s">
        <v>69</v>
      </c>
      <c r="C213" s="11"/>
      <c r="F213" t="s">
        <v>5</v>
      </c>
      <c r="G213" s="11">
        <f>INDEX(EndOfLife!$B$6:$E$14,MATCH($A213,EndOfLife!$A$6:$A$14,0),MATCH($F213,EndOfLife!$B$5:$E$5,0))*INDEX(PlasticsUse!$B$27:$L$41,MATCH('CompilationCalcs - EPA EOL'!$A213,PlasticsUse!$A$27:$A$41,0),MATCH('CompilationCalcs - EPA EOL'!$B213,PlasticsUse!$B$26:$L$26,0))</f>
        <v>0</v>
      </c>
    </row>
    <row r="214" spans="1:7" x14ac:dyDescent="0.2">
      <c r="A214" t="s">
        <v>11</v>
      </c>
      <c r="B214" t="s">
        <v>100</v>
      </c>
      <c r="C214" s="11"/>
      <c r="F214" t="s">
        <v>5</v>
      </c>
      <c r="G214" s="11">
        <f>INDEX(EndOfLife!$B$6:$E$14,MATCH($A214,EndOfLife!$A$6:$A$14,0),MATCH($F214,EndOfLife!$B$5:$E$5,0))*INDEX(PlasticsUse!$B$27:$L$41,MATCH('CompilationCalcs - EPA EOL'!$A214,PlasticsUse!$A$27:$A$41,0),MATCH('CompilationCalcs - EPA EOL'!$B214,PlasticsUse!$B$26:$L$26,0))</f>
        <v>0</v>
      </c>
    </row>
    <row r="215" spans="1:7" x14ac:dyDescent="0.2">
      <c r="A215" t="s">
        <v>11</v>
      </c>
      <c r="B215" t="s">
        <v>39</v>
      </c>
      <c r="C215" s="11"/>
      <c r="F215" t="s">
        <v>5</v>
      </c>
      <c r="G215" s="11">
        <f>INDEX(EndOfLife!$B$6:$E$14,MATCH($A215,EndOfLife!$A$6:$A$14,0),MATCH($F215,EndOfLife!$B$5:$E$5,0))*INDEX(PlasticsUse!$B$27:$L$41,MATCH('CompilationCalcs - EPA EOL'!$A215,PlasticsUse!$A$27:$A$41,0),MATCH('CompilationCalcs - EPA EOL'!$B215,PlasticsUse!$B$26:$L$26,0))</f>
        <v>0</v>
      </c>
    </row>
    <row r="216" spans="1:7" x14ac:dyDescent="0.2">
      <c r="A216" t="s">
        <v>11</v>
      </c>
      <c r="B216" t="s">
        <v>68</v>
      </c>
      <c r="C216" s="11"/>
      <c r="F216" t="s">
        <v>5</v>
      </c>
      <c r="G216" s="11">
        <f>INDEX(EndOfLife!$B$6:$E$14,MATCH($A216,EndOfLife!$A$6:$A$14,0),MATCH($F216,EndOfLife!$B$5:$E$5,0))*INDEX(PlasticsUse!$B$27:$L$41,MATCH('CompilationCalcs - EPA EOL'!$A216,PlasticsUse!$A$27:$A$41,0),MATCH('CompilationCalcs - EPA EOL'!$B216,PlasticsUse!$B$26:$L$26,0))</f>
        <v>0</v>
      </c>
    </row>
    <row r="217" spans="1:7" x14ac:dyDescent="0.2">
      <c r="A217" t="s">
        <v>11</v>
      </c>
      <c r="B217" t="s">
        <v>91</v>
      </c>
      <c r="C217" s="11"/>
      <c r="F217" t="s">
        <v>5</v>
      </c>
      <c r="G217" s="11" t="e">
        <f>INDEX(EndOfLife!$B$6:$E$14,MATCH($A217,EndOfLife!$A$6:$A$14,0),MATCH($F217,EndOfLife!$B$5:$E$5,0))*INDEX(PlasticsUse!$B$27:$L$41,MATCH('CompilationCalcs - EPA EOL'!$A217,PlasticsUse!$A$27:$A$41,0),MATCH('CompilationCalcs - EPA EOL'!$B217,PlasticsUse!$B$26:$L$26,0))</f>
        <v>#N/A</v>
      </c>
    </row>
    <row r="218" spans="1:7" x14ac:dyDescent="0.2">
      <c r="A218" t="s">
        <v>11</v>
      </c>
      <c r="B218" t="s">
        <v>92</v>
      </c>
      <c r="C218" s="11"/>
      <c r="F218" t="s">
        <v>5</v>
      </c>
      <c r="G218" s="11">
        <f>INDEX(EndOfLife!$B$6:$E$14,MATCH($A218,EndOfLife!$A$6:$A$14,0),MATCH($F218,EndOfLife!$B$5:$E$5,0))*INDEX(PlasticsUse!$B$27:$L$41,MATCH('CompilationCalcs - EPA EOL'!$A218,PlasticsUse!$A$27:$A$41,0),MATCH('CompilationCalcs - EPA EOL'!$B218,PlasticsUse!$B$26:$L$26,0))</f>
        <v>0</v>
      </c>
    </row>
    <row r="219" spans="1:7" x14ac:dyDescent="0.2">
      <c r="A219" t="s">
        <v>11</v>
      </c>
      <c r="B219" t="s">
        <v>103</v>
      </c>
      <c r="C219" s="11"/>
      <c r="F219" t="s">
        <v>5</v>
      </c>
      <c r="G219" s="11">
        <f>INDEX(EndOfLife!$B$6:$E$14,MATCH($A219,EndOfLife!$A$6:$A$14,0),MATCH($F219,EndOfLife!$B$5:$E$5,0))*INDEX(PlasticsUse!$B$27:$L$41,MATCH('CompilationCalcs - EPA EOL'!$A219,PlasticsUse!$A$27:$A$41,0),MATCH('CompilationCalcs - EPA EOL'!$B219,PlasticsUse!$B$26:$L$26,0))</f>
        <v>0</v>
      </c>
    </row>
    <row r="220" spans="1:7" x14ac:dyDescent="0.2">
      <c r="A220" t="s">
        <v>11</v>
      </c>
      <c r="B220" t="s">
        <v>86</v>
      </c>
      <c r="C220" s="11"/>
      <c r="F220" t="s">
        <v>5</v>
      </c>
      <c r="G220" s="11">
        <f>INDEX(EndOfLife!$B$6:$E$14,MATCH($A220,EndOfLife!$A$6:$A$14,0),MATCH($F220,EndOfLife!$B$5:$E$5,0))*INDEX(PlasticsUse!$B$27:$L$41,MATCH('CompilationCalcs - EPA EOL'!$A220,PlasticsUse!$A$27:$A$41,0),MATCH('CompilationCalcs - EPA EOL'!$B220,PlasticsUse!$B$26:$L$26,0))</f>
        <v>0</v>
      </c>
    </row>
    <row r="221" spans="1:7" x14ac:dyDescent="0.2">
      <c r="A221" t="s">
        <v>11</v>
      </c>
      <c r="B221" t="s">
        <v>18</v>
      </c>
      <c r="C221" s="11"/>
      <c r="F221" t="s">
        <v>5</v>
      </c>
      <c r="G221" s="11">
        <f>INDEX(EndOfLife!$B$6:$E$14,MATCH($A221,EndOfLife!$A$6:$A$14,0),MATCH($F221,EndOfLife!$B$5:$E$5,0))*INDEX(PlasticsUse!$B$27:$L$41,MATCH('CompilationCalcs - EPA EOL'!$A221,PlasticsUse!$A$27:$A$41,0),MATCH('CompilationCalcs - EPA EOL'!$B221,PlasticsUse!$B$26:$L$26,0))</f>
        <v>0</v>
      </c>
    </row>
    <row r="222" spans="1:7" x14ac:dyDescent="0.2">
      <c r="A222" t="s">
        <v>11</v>
      </c>
      <c r="B222" t="s">
        <v>99</v>
      </c>
      <c r="C222" s="11"/>
      <c r="F222" t="s">
        <v>6</v>
      </c>
      <c r="G222" s="11">
        <f>INDEX(EndOfLife!$B$6:$E$14,MATCH($A222,EndOfLife!$A$6:$A$14,0),MATCH($F222,EndOfLife!$B$5:$E$5,0))*INDEX(PlasticsUse!$B$27:$L$41,MATCH('CompilationCalcs - EPA EOL'!$A222,PlasticsUse!$A$27:$A$41,0),MATCH('CompilationCalcs - EPA EOL'!$B222,PlasticsUse!$B$26:$L$26,0))</f>
        <v>0</v>
      </c>
    </row>
    <row r="223" spans="1:7" x14ac:dyDescent="0.2">
      <c r="A223" t="s">
        <v>11</v>
      </c>
      <c r="B223" t="s">
        <v>69</v>
      </c>
      <c r="C223" s="11"/>
      <c r="F223" t="s">
        <v>6</v>
      </c>
      <c r="G223" s="11">
        <f>INDEX(EndOfLife!$B$6:$E$14,MATCH($A223,EndOfLife!$A$6:$A$14,0),MATCH($F223,EndOfLife!$B$5:$E$5,0))*INDEX(PlasticsUse!$B$27:$L$41,MATCH('CompilationCalcs - EPA EOL'!$A223,PlasticsUse!$A$27:$A$41,0),MATCH('CompilationCalcs - EPA EOL'!$B223,PlasticsUse!$B$26:$L$26,0))</f>
        <v>0</v>
      </c>
    </row>
    <row r="224" spans="1:7" x14ac:dyDescent="0.2">
      <c r="A224" t="s">
        <v>11</v>
      </c>
      <c r="B224" t="s">
        <v>100</v>
      </c>
      <c r="C224" s="11"/>
      <c r="F224" t="s">
        <v>6</v>
      </c>
      <c r="G224" s="11">
        <f>INDEX(EndOfLife!$B$6:$E$14,MATCH($A224,EndOfLife!$A$6:$A$14,0),MATCH($F224,EndOfLife!$B$5:$E$5,0))*INDEX(PlasticsUse!$B$27:$L$41,MATCH('CompilationCalcs - EPA EOL'!$A224,PlasticsUse!$A$27:$A$41,0),MATCH('CompilationCalcs - EPA EOL'!$B224,PlasticsUse!$B$26:$L$26,0))</f>
        <v>0</v>
      </c>
    </row>
    <row r="225" spans="1:7" x14ac:dyDescent="0.2">
      <c r="A225" t="s">
        <v>11</v>
      </c>
      <c r="B225" t="s">
        <v>39</v>
      </c>
      <c r="C225" s="11"/>
      <c r="F225" t="s">
        <v>6</v>
      </c>
      <c r="G225" s="11">
        <f>INDEX(EndOfLife!$B$6:$E$14,MATCH($A225,EndOfLife!$A$6:$A$14,0),MATCH($F225,EndOfLife!$B$5:$E$5,0))*INDEX(PlasticsUse!$B$27:$L$41,MATCH('CompilationCalcs - EPA EOL'!$A225,PlasticsUse!$A$27:$A$41,0),MATCH('CompilationCalcs - EPA EOL'!$B225,PlasticsUse!$B$26:$L$26,0))</f>
        <v>0</v>
      </c>
    </row>
    <row r="226" spans="1:7" x14ac:dyDescent="0.2">
      <c r="A226" t="s">
        <v>11</v>
      </c>
      <c r="B226" t="s">
        <v>68</v>
      </c>
      <c r="C226" s="11"/>
      <c r="F226" t="s">
        <v>6</v>
      </c>
      <c r="G226" s="11">
        <f>INDEX(EndOfLife!$B$6:$E$14,MATCH($A226,EndOfLife!$A$6:$A$14,0),MATCH($F226,EndOfLife!$B$5:$E$5,0))*INDEX(PlasticsUse!$B$27:$L$41,MATCH('CompilationCalcs - EPA EOL'!$A226,PlasticsUse!$A$27:$A$41,0),MATCH('CompilationCalcs - EPA EOL'!$B226,PlasticsUse!$B$26:$L$26,0))</f>
        <v>0</v>
      </c>
    </row>
    <row r="227" spans="1:7" x14ac:dyDescent="0.2">
      <c r="A227" t="s">
        <v>11</v>
      </c>
      <c r="B227" t="s">
        <v>91</v>
      </c>
      <c r="C227" s="11"/>
      <c r="F227" t="s">
        <v>6</v>
      </c>
      <c r="G227" s="11" t="e">
        <f>INDEX(EndOfLife!$B$6:$E$14,MATCH($A227,EndOfLife!$A$6:$A$14,0),MATCH($F227,EndOfLife!$B$5:$E$5,0))*INDEX(PlasticsUse!$B$27:$L$41,MATCH('CompilationCalcs - EPA EOL'!$A227,PlasticsUse!$A$27:$A$41,0),MATCH('CompilationCalcs - EPA EOL'!$B227,PlasticsUse!$B$26:$L$26,0))</f>
        <v>#N/A</v>
      </c>
    </row>
    <row r="228" spans="1:7" x14ac:dyDescent="0.2">
      <c r="A228" t="s">
        <v>11</v>
      </c>
      <c r="B228" t="s">
        <v>92</v>
      </c>
      <c r="C228" s="11"/>
      <c r="F228" t="s">
        <v>6</v>
      </c>
      <c r="G228" s="11">
        <f>INDEX(EndOfLife!$B$6:$E$14,MATCH($A228,EndOfLife!$A$6:$A$14,0),MATCH($F228,EndOfLife!$B$5:$E$5,0))*INDEX(PlasticsUse!$B$27:$L$41,MATCH('CompilationCalcs - EPA EOL'!$A228,PlasticsUse!$A$27:$A$41,0),MATCH('CompilationCalcs - EPA EOL'!$B228,PlasticsUse!$B$26:$L$26,0))</f>
        <v>0</v>
      </c>
    </row>
    <row r="229" spans="1:7" x14ac:dyDescent="0.2">
      <c r="A229" t="s">
        <v>11</v>
      </c>
      <c r="B229" t="s">
        <v>103</v>
      </c>
      <c r="C229" s="11"/>
      <c r="F229" t="s">
        <v>6</v>
      </c>
      <c r="G229" s="11">
        <f>INDEX(EndOfLife!$B$6:$E$14,MATCH($A229,EndOfLife!$A$6:$A$14,0),MATCH($F229,EndOfLife!$B$5:$E$5,0))*INDEX(PlasticsUse!$B$27:$L$41,MATCH('CompilationCalcs - EPA EOL'!$A229,PlasticsUse!$A$27:$A$41,0),MATCH('CompilationCalcs - EPA EOL'!$B229,PlasticsUse!$B$26:$L$26,0))</f>
        <v>0</v>
      </c>
    </row>
    <row r="230" spans="1:7" x14ac:dyDescent="0.2">
      <c r="A230" t="s">
        <v>11</v>
      </c>
      <c r="B230" t="s">
        <v>86</v>
      </c>
      <c r="C230" s="11"/>
      <c r="F230" t="s">
        <v>6</v>
      </c>
      <c r="G230" s="11">
        <f>INDEX(EndOfLife!$B$6:$E$14,MATCH($A230,EndOfLife!$A$6:$A$14,0),MATCH($F230,EndOfLife!$B$5:$E$5,0))*INDEX(PlasticsUse!$B$27:$L$41,MATCH('CompilationCalcs - EPA EOL'!$A230,PlasticsUse!$A$27:$A$41,0),MATCH('CompilationCalcs - EPA EOL'!$B230,PlasticsUse!$B$26:$L$26,0))</f>
        <v>0</v>
      </c>
    </row>
    <row r="231" spans="1:7" x14ac:dyDescent="0.2">
      <c r="A231" t="s">
        <v>11</v>
      </c>
      <c r="B231" t="s">
        <v>18</v>
      </c>
      <c r="C231" s="11"/>
      <c r="F231" t="s">
        <v>6</v>
      </c>
      <c r="G231" s="11">
        <f>INDEX(EndOfLife!$B$6:$E$14,MATCH($A231,EndOfLife!$A$6:$A$14,0),MATCH($F231,EndOfLife!$B$5:$E$5,0))*INDEX(PlasticsUse!$B$27:$L$41,MATCH('CompilationCalcs - EPA EOL'!$A231,PlasticsUse!$A$27:$A$41,0),MATCH('CompilationCalcs - EPA EOL'!$B231,PlasticsUse!$B$26:$L$26,0))</f>
        <v>0</v>
      </c>
    </row>
    <row r="232" spans="1:7" x14ac:dyDescent="0.2">
      <c r="A232" t="s">
        <v>127</v>
      </c>
      <c r="B232" t="s">
        <v>38</v>
      </c>
      <c r="C232" s="11">
        <f>INDEX(PlasticsUse!$B$94:$L$111,MATCH('CompilationCalcs - EPA EOL'!$A232,PlasticsUse!$A$94:$A$108,0),MATCH('CompilationCalcs - EPA EOL'!$B232,PlasticsUse!$B$93:$L$93,0))</f>
        <v>0</v>
      </c>
      <c r="G232" s="11"/>
    </row>
    <row r="233" spans="1:7" x14ac:dyDescent="0.2">
      <c r="A233" t="s">
        <v>127</v>
      </c>
      <c r="B233" t="s">
        <v>99</v>
      </c>
      <c r="C233" s="11">
        <f>INDEX(PlasticsUse!$B$94:$L$111,MATCH('CompilationCalcs - EPA EOL'!$A233,PlasticsUse!$A$94:$A$108,0),MATCH('CompilationCalcs - EPA EOL'!$B233,PlasticsUse!$B$93:$L$93,0))</f>
        <v>0</v>
      </c>
      <c r="G233" s="11"/>
    </row>
    <row r="234" spans="1:7" x14ac:dyDescent="0.2">
      <c r="A234" t="s">
        <v>127</v>
      </c>
      <c r="B234" t="s">
        <v>69</v>
      </c>
      <c r="C234" s="11">
        <f>INDEX(PlasticsUse!$B$94:$L$111,MATCH('CompilationCalcs - EPA EOL'!$A234,PlasticsUse!$A$94:$A$108,0),MATCH('CompilationCalcs - EPA EOL'!$B234,PlasticsUse!$B$93:$L$93,0))</f>
        <v>0</v>
      </c>
      <c r="G234" s="11"/>
    </row>
    <row r="235" spans="1:7" x14ac:dyDescent="0.2">
      <c r="A235" t="s">
        <v>127</v>
      </c>
      <c r="B235" t="s">
        <v>100</v>
      </c>
      <c r="C235" s="11">
        <f>INDEX(PlasticsUse!$B$94:$L$111,MATCH('CompilationCalcs - EPA EOL'!$A235,PlasticsUse!$A$94:$A$108,0),MATCH('CompilationCalcs - EPA EOL'!$B235,PlasticsUse!$B$93:$L$93,0))</f>
        <v>0</v>
      </c>
      <c r="G235" s="11"/>
    </row>
    <row r="236" spans="1:7" x14ac:dyDescent="0.2">
      <c r="A236" t="s">
        <v>127</v>
      </c>
      <c r="B236" t="s">
        <v>39</v>
      </c>
      <c r="C236" s="11">
        <f>INDEX(PlasticsUse!$B$94:$L$111,MATCH('CompilationCalcs - EPA EOL'!$A236,PlasticsUse!$A$94:$A$108,0),MATCH('CompilationCalcs - EPA EOL'!$B236,PlasticsUse!$B$93:$L$93,0))</f>
        <v>0</v>
      </c>
      <c r="G236" s="11"/>
    </row>
    <row r="237" spans="1:7" x14ac:dyDescent="0.2">
      <c r="A237" t="s">
        <v>127</v>
      </c>
      <c r="B237" t="s">
        <v>68</v>
      </c>
      <c r="C237" s="11">
        <f>INDEX(PlasticsUse!$B$94:$L$111,MATCH('CompilationCalcs - EPA EOL'!$A237,PlasticsUse!$A$94:$A$108,0),MATCH('CompilationCalcs - EPA EOL'!$B237,PlasticsUse!$B$93:$L$93,0))</f>
        <v>0</v>
      </c>
      <c r="G237" s="11"/>
    </row>
    <row r="238" spans="1:7" x14ac:dyDescent="0.2">
      <c r="A238" t="s">
        <v>127</v>
      </c>
      <c r="B238" t="s">
        <v>91</v>
      </c>
      <c r="C238" s="11" t="e">
        <f>INDEX(PlasticsUse!$B$94:$L$111,MATCH('CompilationCalcs - EPA EOL'!$A238,PlasticsUse!$A$94:$A$108,0),MATCH('CompilationCalcs - EPA EOL'!$B238,PlasticsUse!$B$93:$L$93,0))</f>
        <v>#N/A</v>
      </c>
      <c r="G238" s="11"/>
    </row>
    <row r="239" spans="1:7" x14ac:dyDescent="0.2">
      <c r="A239" t="s">
        <v>127</v>
      </c>
      <c r="B239" t="s">
        <v>92</v>
      </c>
      <c r="C239" s="11">
        <f>INDEX(PlasticsUse!$B$94:$L$111,MATCH('CompilationCalcs - EPA EOL'!$A239,PlasticsUse!$A$94:$A$108,0),MATCH('CompilationCalcs - EPA EOL'!$B239,PlasticsUse!$B$93:$L$93,0))</f>
        <v>0</v>
      </c>
      <c r="G239" s="11"/>
    </row>
    <row r="240" spans="1:7" x14ac:dyDescent="0.2">
      <c r="A240" t="s">
        <v>127</v>
      </c>
      <c r="B240" t="s">
        <v>103</v>
      </c>
      <c r="C240" s="11">
        <f>INDEX(PlasticsUse!$B$94:$L$111,MATCH('CompilationCalcs - EPA EOL'!$A240,PlasticsUse!$A$94:$A$108,0),MATCH('CompilationCalcs - EPA EOL'!$B240,PlasticsUse!$B$93:$L$93,0))</f>
        <v>0</v>
      </c>
      <c r="G240" s="11"/>
    </row>
    <row r="241" spans="1:9" x14ac:dyDescent="0.2">
      <c r="A241" t="s">
        <v>127</v>
      </c>
      <c r="B241" t="s">
        <v>86</v>
      </c>
      <c r="C241" s="11">
        <f>INDEX(PlasticsUse!$B$94:$L$111,MATCH('CompilationCalcs - EPA EOL'!$A241,PlasticsUse!$A$94:$A$108,0),MATCH('CompilationCalcs - EPA EOL'!$B241,PlasticsUse!$B$93:$L$93,0))</f>
        <v>2.26796</v>
      </c>
      <c r="G241" s="11"/>
      <c r="I241" s="31"/>
    </row>
    <row r="242" spans="1:9" x14ac:dyDescent="0.2">
      <c r="A242" t="s">
        <v>127</v>
      </c>
      <c r="B242" t="s">
        <v>18</v>
      </c>
      <c r="C242" s="11">
        <f>INDEX(PlasticsUse!$B$94:$L$111,MATCH('CompilationCalcs - EPA EOL'!$A242,PlasticsUse!$A$94:$A$108,0),MATCH('CompilationCalcs - EPA EOL'!$B242,PlasticsUse!$B$93:$L$93,0))</f>
        <v>0</v>
      </c>
      <c r="G242" s="11"/>
    </row>
    <row r="243" spans="1:9" x14ac:dyDescent="0.2">
      <c r="A243" t="s">
        <v>122</v>
      </c>
      <c r="B243" t="s">
        <v>38</v>
      </c>
      <c r="C243" s="11">
        <f>INDEX(PlasticsUse!$B$94:$L$111,MATCH('CompilationCalcs - EPA EOL'!$A243,PlasticsUse!$A$94:$A$108,0),MATCH('CompilationCalcs - EPA EOL'!$B243,PlasticsUse!$B$93:$L$93,0))</f>
        <v>0</v>
      </c>
      <c r="G243" s="11"/>
    </row>
    <row r="244" spans="1:9" x14ac:dyDescent="0.2">
      <c r="A244" t="s">
        <v>122</v>
      </c>
      <c r="B244" t="s">
        <v>99</v>
      </c>
      <c r="C244" s="11">
        <f>INDEX(PlasticsUse!$B$94:$L$111,MATCH('CompilationCalcs - EPA EOL'!$A244,PlasticsUse!$A$94:$A$108,0),MATCH('CompilationCalcs - EPA EOL'!$B244,PlasticsUse!$B$93:$L$93,0))</f>
        <v>0</v>
      </c>
      <c r="G244" s="11"/>
    </row>
    <row r="245" spans="1:9" x14ac:dyDescent="0.2">
      <c r="A245" t="s">
        <v>122</v>
      </c>
      <c r="B245" t="s">
        <v>69</v>
      </c>
      <c r="C245" s="11">
        <f>INDEX(PlasticsUse!$B$94:$L$111,MATCH('CompilationCalcs - EPA EOL'!$A245,PlasticsUse!$A$94:$A$108,0),MATCH('CompilationCalcs - EPA EOL'!$B245,PlasticsUse!$B$93:$L$93,0))</f>
        <v>0</v>
      </c>
      <c r="G245" s="11"/>
    </row>
    <row r="246" spans="1:9" x14ac:dyDescent="0.2">
      <c r="A246" t="s">
        <v>122</v>
      </c>
      <c r="B246" t="s">
        <v>100</v>
      </c>
      <c r="C246" s="11">
        <f>INDEX(PlasticsUse!$B$94:$L$111,MATCH('CompilationCalcs - EPA EOL'!$A246,PlasticsUse!$A$94:$A$108,0),MATCH('CompilationCalcs - EPA EOL'!$B246,PlasticsUse!$B$93:$L$93,0))</f>
        <v>0</v>
      </c>
      <c r="G246" s="11"/>
    </row>
    <row r="247" spans="1:9" x14ac:dyDescent="0.2">
      <c r="A247" t="s">
        <v>122</v>
      </c>
      <c r="B247" t="s">
        <v>39</v>
      </c>
      <c r="C247" s="11">
        <f>INDEX(PlasticsUse!$B$94:$L$111,MATCH('CompilationCalcs - EPA EOL'!$A247,PlasticsUse!$A$94:$A$108,0),MATCH('CompilationCalcs - EPA EOL'!$B247,PlasticsUse!$B$93:$L$93,0))</f>
        <v>0</v>
      </c>
      <c r="G247" s="11"/>
    </row>
    <row r="248" spans="1:9" x14ac:dyDescent="0.2">
      <c r="A248" t="s">
        <v>122</v>
      </c>
      <c r="B248" t="s">
        <v>68</v>
      </c>
      <c r="C248" s="11">
        <f>INDEX(PlasticsUse!$B$94:$L$111,MATCH('CompilationCalcs - EPA EOL'!$A248,PlasticsUse!$A$94:$A$108,0),MATCH('CompilationCalcs - EPA EOL'!$B248,PlasticsUse!$B$93:$L$93,0))</f>
        <v>0</v>
      </c>
      <c r="G248" s="11"/>
    </row>
    <row r="249" spans="1:9" x14ac:dyDescent="0.2">
      <c r="A249" t="s">
        <v>122</v>
      </c>
      <c r="B249" t="s">
        <v>91</v>
      </c>
      <c r="C249" s="11" t="e">
        <f>INDEX(PlasticsUse!$B$94:$L$111,MATCH('CompilationCalcs - EPA EOL'!$A249,PlasticsUse!$A$94:$A$108,0),MATCH('CompilationCalcs - EPA EOL'!$B249,PlasticsUse!$B$93:$L$93,0))</f>
        <v>#N/A</v>
      </c>
      <c r="G249" s="11"/>
    </row>
    <row r="250" spans="1:9" x14ac:dyDescent="0.2">
      <c r="A250" t="s">
        <v>122</v>
      </c>
      <c r="B250" t="s">
        <v>92</v>
      </c>
      <c r="C250" s="11">
        <f>INDEX(PlasticsUse!$B$94:$L$111,MATCH('CompilationCalcs - EPA EOL'!$A250,PlasticsUse!$A$94:$A$108,0),MATCH('CompilationCalcs - EPA EOL'!$B250,PlasticsUse!$B$93:$L$93,0))</f>
        <v>0</v>
      </c>
      <c r="G250" s="11"/>
    </row>
    <row r="251" spans="1:9" x14ac:dyDescent="0.2">
      <c r="A251" t="s">
        <v>122</v>
      </c>
      <c r="B251" t="s">
        <v>103</v>
      </c>
      <c r="C251" s="11">
        <f>INDEX(PlasticsUse!$B$94:$L$111,MATCH('CompilationCalcs - EPA EOL'!$A251,PlasticsUse!$A$94:$A$108,0),MATCH('CompilationCalcs - EPA EOL'!$B251,PlasticsUse!$B$93:$L$93,0))</f>
        <v>0</v>
      </c>
      <c r="G251" s="11"/>
    </row>
    <row r="252" spans="1:9" x14ac:dyDescent="0.2">
      <c r="A252" t="s">
        <v>122</v>
      </c>
      <c r="B252" t="s">
        <v>86</v>
      </c>
      <c r="C252" s="11">
        <f>INDEX(PlasticsUse!$B$94:$L$111,MATCH('CompilationCalcs - EPA EOL'!$A252,PlasticsUse!$A$94:$A$108,0),MATCH('CompilationCalcs - EPA EOL'!$B252,PlasticsUse!$B$93:$L$93,0))</f>
        <v>0.70483072062519059</v>
      </c>
      <c r="G252" s="11"/>
    </row>
    <row r="253" spans="1:9" x14ac:dyDescent="0.2">
      <c r="A253" t="s">
        <v>122</v>
      </c>
      <c r="B253" t="s">
        <v>18</v>
      </c>
      <c r="C253" s="11">
        <f>INDEX(PlasticsUse!$B$94:$L$111,MATCH('CompilationCalcs - EPA EOL'!$A253,PlasticsUse!$A$94:$A$108,0),MATCH('CompilationCalcs - EPA EOL'!$B253,PlasticsUse!$B$93:$L$93,0))</f>
        <v>0</v>
      </c>
      <c r="G253" s="11"/>
    </row>
    <row r="254" spans="1:9" x14ac:dyDescent="0.2">
      <c r="A254" t="s">
        <v>82</v>
      </c>
      <c r="B254" t="s">
        <v>38</v>
      </c>
      <c r="C254" s="11">
        <f>INDEX(PlasticsUse!$B$94:$L$111,MATCH('CompilationCalcs - EPA EOL'!$A254,PlasticsUse!$A$94:$A$108,0),MATCH('CompilationCalcs - EPA EOL'!$B254,PlasticsUse!$B$93:$L$93,0))</f>
        <v>2.2757299574526351</v>
      </c>
      <c r="F254" t="s">
        <v>4</v>
      </c>
      <c r="G254" s="11">
        <f>EndOfLife!$C$14*INDEX(PlasticsUse!$B$27:$L$41,MATCH('CompilationCalcs - EPA EOL'!$A254,PlasticsUse!$A$27:$A$41,0),MATCH('CompilationCalcs - EPA EOL'!$B254,PlasticsUse!$B$26:$L$26,0))</f>
        <v>9.1733869301549878E-2</v>
      </c>
    </row>
    <row r="255" spans="1:9" x14ac:dyDescent="0.2">
      <c r="A255" t="s">
        <v>82</v>
      </c>
      <c r="B255" t="s">
        <v>99</v>
      </c>
      <c r="C255" s="11">
        <f>INDEX(PlasticsUse!$B$94:$L$111,MATCH('CompilationCalcs - EPA EOL'!$A255,PlasticsUse!$A$94:$A$108,0),MATCH('CompilationCalcs - EPA EOL'!$B255,PlasticsUse!$B$93:$L$93,0))</f>
        <v>2.5439073226674389</v>
      </c>
      <c r="F255" t="s">
        <v>4</v>
      </c>
      <c r="G255" s="11">
        <f>EndOfLife!$C$14*INDEX(PlasticsUse!$B$27:$L$41,MATCH('CompilationCalcs - EPA EOL'!$A255,PlasticsUse!$A$27:$A$41,0),MATCH('CompilationCalcs - EPA EOL'!$B255,PlasticsUse!$B$26:$L$26,0))</f>
        <v>9.1733869301549878E-2</v>
      </c>
    </row>
    <row r="256" spans="1:9" x14ac:dyDescent="0.2">
      <c r="A256" t="s">
        <v>82</v>
      </c>
      <c r="B256" t="s">
        <v>69</v>
      </c>
      <c r="C256" s="11">
        <f>INDEX(PlasticsUse!$B$94:$L$111,MATCH('CompilationCalcs - EPA EOL'!$A256,PlasticsUse!$A$94:$A$108,0),MATCH('CompilationCalcs - EPA EOL'!$B256,PlasticsUse!$B$93:$L$93,0))</f>
        <v>2.8329021568909853</v>
      </c>
      <c r="F256" t="s">
        <v>4</v>
      </c>
      <c r="G256" s="11">
        <f>EndOfLife!$C$14*INDEX(PlasticsUse!$B$27:$L$41,MATCH('CompilationCalcs - EPA EOL'!$A256,PlasticsUse!$A$27:$A$41,0),MATCH('CompilationCalcs - EPA EOL'!$B256,PlasticsUse!$B$26:$L$26,0))</f>
        <v>9.1733869301549878E-2</v>
      </c>
    </row>
    <row r="257" spans="1:7" x14ac:dyDescent="0.2">
      <c r="A257" t="s">
        <v>82</v>
      </c>
      <c r="B257" t="s">
        <v>100</v>
      </c>
      <c r="C257" s="11">
        <f>INDEX(PlasticsUse!$B$94:$L$111,MATCH('CompilationCalcs - EPA EOL'!$A257,PlasticsUse!$A$94:$A$108,0),MATCH('CompilationCalcs - EPA EOL'!$B257,PlasticsUse!$B$93:$L$93,0))</f>
        <v>2.2757299574526351</v>
      </c>
      <c r="F257" t="s">
        <v>4</v>
      </c>
      <c r="G257" s="11">
        <f>EndOfLife!$C$14*INDEX(PlasticsUse!$B$27:$L$41,MATCH('CompilationCalcs - EPA EOL'!$A257,PlasticsUse!$A$27:$A$41,0),MATCH('CompilationCalcs - EPA EOL'!$B257,PlasticsUse!$B$26:$L$26,0))</f>
        <v>9.1733869301549878E-2</v>
      </c>
    </row>
    <row r="258" spans="1:7" x14ac:dyDescent="0.2">
      <c r="A258" t="s">
        <v>82</v>
      </c>
      <c r="B258" t="s">
        <v>39</v>
      </c>
      <c r="C258" s="11">
        <f>INDEX(PlasticsUse!$B$94:$L$111,MATCH('CompilationCalcs - EPA EOL'!$A258,PlasticsUse!$A$94:$A$108,0),MATCH('CompilationCalcs - EPA EOL'!$B258,PlasticsUse!$B$93:$L$93,0))</f>
        <v>2.7110371112747322</v>
      </c>
      <c r="F258" t="s">
        <v>4</v>
      </c>
      <c r="G258" s="11">
        <f>EndOfLife!$C$14*INDEX(PlasticsUse!$B$27:$L$41,MATCH('CompilationCalcs - EPA EOL'!$A258,PlasticsUse!$A$27:$A$41,0),MATCH('CompilationCalcs - EPA EOL'!$B258,PlasticsUse!$B$26:$L$26,0))</f>
        <v>9.1733869301549878E-2</v>
      </c>
    </row>
    <row r="259" spans="1:7" x14ac:dyDescent="0.2">
      <c r="A259" t="s">
        <v>82</v>
      </c>
      <c r="B259" t="s">
        <v>68</v>
      </c>
      <c r="C259" s="11">
        <f>INDEX(PlasticsUse!$B$94:$L$111,MATCH('CompilationCalcs - EPA EOL'!$A259,PlasticsUse!$A$94:$A$108,0),MATCH('CompilationCalcs - EPA EOL'!$B259,PlasticsUse!$B$93:$L$93,0))</f>
        <v>2.9872421541313874</v>
      </c>
      <c r="F259" t="s">
        <v>4</v>
      </c>
      <c r="G259" s="11">
        <f>EndOfLife!$C$14*INDEX(PlasticsUse!$B$27:$L$41,MATCH('CompilationCalcs - EPA EOL'!$A259,PlasticsUse!$A$27:$A$41,0),MATCH('CompilationCalcs - EPA EOL'!$B259,PlasticsUse!$B$26:$L$26,0))</f>
        <v>9.1733869301549878E-2</v>
      </c>
    </row>
    <row r="260" spans="1:7" x14ac:dyDescent="0.2">
      <c r="A260" t="s">
        <v>82</v>
      </c>
      <c r="B260" t="s">
        <v>91</v>
      </c>
      <c r="C260" s="11" t="e">
        <f>INDEX(PlasticsUse!$B$94:$L$111,MATCH('CompilationCalcs - EPA EOL'!$A260,PlasticsUse!$A$94:$A$108,0),MATCH('CompilationCalcs - EPA EOL'!$B260,PlasticsUse!$B$93:$L$93,0))</f>
        <v>#N/A</v>
      </c>
      <c r="F260" t="s">
        <v>4</v>
      </c>
      <c r="G260" s="11" t="e">
        <f>EndOfLife!$C$14*INDEX(PlasticsUse!$B$27:$L$41,MATCH('CompilationCalcs - EPA EOL'!$A260,PlasticsUse!$A$27:$A$41,0),MATCH('CompilationCalcs - EPA EOL'!$B260,PlasticsUse!$B$26:$L$26,0))</f>
        <v>#N/A</v>
      </c>
    </row>
    <row r="261" spans="1:7" x14ac:dyDescent="0.2">
      <c r="A261" t="s">
        <v>82</v>
      </c>
      <c r="B261" t="s">
        <v>92</v>
      </c>
      <c r="C261" s="11">
        <f>INDEX(PlasticsUse!$B$94:$L$111,MATCH('CompilationCalcs - EPA EOL'!$A261,PlasticsUse!$A$94:$A$108,0),MATCH('CompilationCalcs - EPA EOL'!$B261,PlasticsUse!$B$93:$L$93,0))</f>
        <v>2.2757299574526351</v>
      </c>
      <c r="F261" t="s">
        <v>4</v>
      </c>
      <c r="G261" s="11">
        <f>EndOfLife!$C$14*INDEX(PlasticsUse!$B$27:$L$41,MATCH('CompilationCalcs - EPA EOL'!$A261,PlasticsUse!$A$27:$A$41,0),MATCH('CompilationCalcs - EPA EOL'!$B261,PlasticsUse!$B$26:$L$26,0))</f>
        <v>9.1733869301549878E-2</v>
      </c>
    </row>
    <row r="262" spans="1:7" x14ac:dyDescent="0.2">
      <c r="A262" t="s">
        <v>82</v>
      </c>
      <c r="B262" t="s">
        <v>103</v>
      </c>
      <c r="C262" s="11">
        <f>INDEX(PlasticsUse!$B$94:$L$111,MATCH('CompilationCalcs - EPA EOL'!$A262,PlasticsUse!$A$94:$A$108,0),MATCH('CompilationCalcs - EPA EOL'!$B262,PlasticsUse!$B$93:$L$93,0))</f>
        <v>2.640945992534133</v>
      </c>
      <c r="F262" t="s">
        <v>4</v>
      </c>
      <c r="G262" s="11">
        <f>EndOfLife!$C$14*INDEX(PlasticsUse!$B$27:$L$41,MATCH('CompilationCalcs - EPA EOL'!$A262,PlasticsUse!$A$27:$A$41,0),MATCH('CompilationCalcs - EPA EOL'!$B262,PlasticsUse!$B$26:$L$26,0))</f>
        <v>9.1733869301549878E-2</v>
      </c>
    </row>
    <row r="263" spans="1:7" x14ac:dyDescent="0.2">
      <c r="A263" t="s">
        <v>82</v>
      </c>
      <c r="B263" t="s">
        <v>86</v>
      </c>
      <c r="C263" s="11">
        <f>INDEX(PlasticsUse!$B$94:$L$111,MATCH('CompilationCalcs - EPA EOL'!$A263,PlasticsUse!$A$94:$A$108,0),MATCH('CompilationCalcs - EPA EOL'!$B263,PlasticsUse!$B$93:$L$93,0))</f>
        <v>2.2757299574526351</v>
      </c>
      <c r="F263" t="s">
        <v>4</v>
      </c>
      <c r="G263" s="11">
        <f>EndOfLife!$C$14*INDEX(PlasticsUse!$B$27:$L$41,MATCH('CompilationCalcs - EPA EOL'!$A263,PlasticsUse!$A$27:$A$41,0),MATCH('CompilationCalcs - EPA EOL'!$B263,PlasticsUse!$B$26:$L$26,0))</f>
        <v>9.1733869301549878E-2</v>
      </c>
    </row>
    <row r="264" spans="1:7" x14ac:dyDescent="0.2">
      <c r="A264" t="s">
        <v>82</v>
      </c>
      <c r="B264" t="s">
        <v>18</v>
      </c>
      <c r="C264" s="11">
        <f>INDEX(PlasticsUse!$B$94:$L$111,MATCH('CompilationCalcs - EPA EOL'!$A264,PlasticsUse!$A$94:$A$108,0),MATCH('CompilationCalcs - EPA EOL'!$B264,PlasticsUse!$B$93:$L$93,0))</f>
        <v>2.2757299574526351</v>
      </c>
      <c r="F264" t="s">
        <v>4</v>
      </c>
      <c r="G264" s="11">
        <f>EndOfLife!$C$14*INDEX(PlasticsUse!$B$27:$L$41,MATCH('CompilationCalcs - EPA EOL'!$A264,PlasticsUse!$A$27:$A$41,0),MATCH('CompilationCalcs - EPA EOL'!$B264,PlasticsUse!$B$26:$L$26,0))</f>
        <v>9.1733869301549878E-2</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0B26CA-0A09-5442-8629-F79DA5AC0702}">
  <dimension ref="A1:L381"/>
  <sheetViews>
    <sheetView workbookViewId="0">
      <selection activeCell="D362" sqref="D362"/>
    </sheetView>
  </sheetViews>
  <sheetFormatPr baseColWidth="10" defaultRowHeight="16" x14ac:dyDescent="0.2"/>
  <cols>
    <col min="1" max="2" width="19.83203125" customWidth="1"/>
    <col min="3" max="3" width="67.6640625" customWidth="1"/>
    <col min="4" max="4" width="18.33203125" customWidth="1"/>
    <col min="5" max="5" width="17" customWidth="1"/>
    <col min="6" max="6" width="12.5" customWidth="1"/>
    <col min="7" max="7" width="15.1640625" customWidth="1"/>
  </cols>
  <sheetData>
    <row r="1" spans="1:2" ht="24" x14ac:dyDescent="0.3">
      <c r="A1" s="4" t="s">
        <v>827</v>
      </c>
    </row>
    <row r="3" spans="1:2" ht="19" x14ac:dyDescent="0.25">
      <c r="A3" s="12" t="s">
        <v>572</v>
      </c>
    </row>
    <row r="5" spans="1:2" x14ac:dyDescent="0.2">
      <c r="A5" s="39" t="s">
        <v>76</v>
      </c>
      <c r="B5" s="39" t="s">
        <v>109</v>
      </c>
    </row>
    <row r="6" spans="1:2" x14ac:dyDescent="0.2">
      <c r="A6" s="40" t="s">
        <v>8</v>
      </c>
      <c r="B6" s="47">
        <f>SUMIF($G$22:$G$357,A6,$I$22:$I$357)*10^-6</f>
        <v>0.40230880436661476</v>
      </c>
    </row>
    <row r="7" spans="1:2" x14ac:dyDescent="0.2">
      <c r="A7" s="40" t="s">
        <v>19</v>
      </c>
      <c r="B7" s="47">
        <f t="shared" ref="B7:B19" si="0">SUMIF($G$22:$G$357,A7,$I$22:$I$357)*10^-6</f>
        <v>4.9086156859499568E-2</v>
      </c>
    </row>
    <row r="8" spans="1:2" x14ac:dyDescent="0.2">
      <c r="A8" s="40" t="s">
        <v>1</v>
      </c>
      <c r="B8" s="47">
        <f t="shared" si="0"/>
        <v>0.9723164566521969</v>
      </c>
    </row>
    <row r="9" spans="1:2" x14ac:dyDescent="0.2">
      <c r="A9" s="40" t="s">
        <v>575</v>
      </c>
      <c r="B9" s="47">
        <f t="shared" si="0"/>
        <v>0.98589352833803645</v>
      </c>
    </row>
    <row r="10" spans="1:2" x14ac:dyDescent="0.2">
      <c r="A10" s="40" t="s">
        <v>576</v>
      </c>
      <c r="B10" s="47">
        <f t="shared" si="0"/>
        <v>2.2635924861555377</v>
      </c>
    </row>
    <row r="11" spans="1:2" x14ac:dyDescent="0.2">
      <c r="A11" s="40" t="s">
        <v>10</v>
      </c>
      <c r="B11" s="47">
        <f t="shared" si="0"/>
        <v>0.22452861547544853</v>
      </c>
    </row>
    <row r="12" spans="1:2" x14ac:dyDescent="0.2">
      <c r="A12" s="40" t="s">
        <v>25</v>
      </c>
      <c r="B12" s="47">
        <f t="shared" si="0"/>
        <v>0.11982212178610264</v>
      </c>
    </row>
    <row r="13" spans="1:2" x14ac:dyDescent="0.2">
      <c r="A13" s="40" t="s">
        <v>11</v>
      </c>
      <c r="B13" s="47">
        <f t="shared" si="0"/>
        <v>5.7299410682534392E-2</v>
      </c>
    </row>
    <row r="14" spans="1:2" x14ac:dyDescent="0.2">
      <c r="A14" s="40" t="s">
        <v>31</v>
      </c>
      <c r="B14" s="47">
        <f t="shared" si="0"/>
        <v>0.10365538034556121</v>
      </c>
    </row>
    <row r="15" spans="1:2" x14ac:dyDescent="0.2">
      <c r="A15" s="40" t="s">
        <v>7</v>
      </c>
      <c r="B15" s="47">
        <f t="shared" si="0"/>
        <v>0.17534411630514132</v>
      </c>
    </row>
    <row r="16" spans="1:2" x14ac:dyDescent="0.2">
      <c r="A16" s="40" t="s">
        <v>32</v>
      </c>
      <c r="B16" s="47">
        <f t="shared" si="0"/>
        <v>9.5601559273964853E-2</v>
      </c>
    </row>
    <row r="17" spans="1:9" x14ac:dyDescent="0.2">
      <c r="A17" s="40" t="s">
        <v>2</v>
      </c>
      <c r="B17" s="47">
        <f t="shared" si="0"/>
        <v>0.58416185684134236</v>
      </c>
    </row>
    <row r="18" spans="1:9" x14ac:dyDescent="0.2">
      <c r="A18" s="40" t="s">
        <v>122</v>
      </c>
      <c r="B18" s="47">
        <f t="shared" si="0"/>
        <v>0.10483072062519065</v>
      </c>
    </row>
    <row r="19" spans="1:9" x14ac:dyDescent="0.2">
      <c r="A19" s="40" t="s">
        <v>82</v>
      </c>
      <c r="B19" s="47">
        <f t="shared" si="0"/>
        <v>8.547108597047795E-2</v>
      </c>
    </row>
    <row r="21" spans="1:9" x14ac:dyDescent="0.2">
      <c r="A21" s="108" t="s">
        <v>395</v>
      </c>
      <c r="B21" s="108" t="s">
        <v>396</v>
      </c>
      <c r="C21" s="108" t="s">
        <v>259</v>
      </c>
      <c r="D21" s="108" t="s">
        <v>397</v>
      </c>
      <c r="E21" s="108" t="s">
        <v>398</v>
      </c>
      <c r="F21" s="108" t="s">
        <v>870</v>
      </c>
      <c r="G21" s="108" t="s">
        <v>400</v>
      </c>
      <c r="H21" s="108" t="s">
        <v>401</v>
      </c>
      <c r="I21" s="108" t="s">
        <v>402</v>
      </c>
    </row>
    <row r="22" spans="1:9" x14ac:dyDescent="0.2">
      <c r="A22" s="109" t="s">
        <v>403</v>
      </c>
      <c r="B22" s="109" t="s">
        <v>404</v>
      </c>
      <c r="C22" s="109" t="s">
        <v>405</v>
      </c>
      <c r="D22" s="109" t="s">
        <v>406</v>
      </c>
      <c r="E22" s="109" t="s">
        <v>407</v>
      </c>
      <c r="F22" s="17">
        <v>0</v>
      </c>
      <c r="G22" t="s">
        <v>8</v>
      </c>
      <c r="H22">
        <f>INDEX($B$366:$B$379,MATCH($G22,$A$366:$A$379,0),1)</f>
        <v>1.50414</v>
      </c>
      <c r="I22" s="17">
        <f>F22/H22*10^-3</f>
        <v>0</v>
      </c>
    </row>
    <row r="23" spans="1:9" x14ac:dyDescent="0.2">
      <c r="A23" s="109" t="s">
        <v>403</v>
      </c>
      <c r="B23" s="109" t="s">
        <v>404</v>
      </c>
      <c r="C23" s="109" t="s">
        <v>405</v>
      </c>
      <c r="D23" s="109" t="s">
        <v>408</v>
      </c>
      <c r="E23" s="109" t="s">
        <v>407</v>
      </c>
      <c r="F23" s="17">
        <v>14670539</v>
      </c>
      <c r="G23" t="s">
        <v>8</v>
      </c>
      <c r="H23">
        <f>INDEX($B$366:$B$379,MATCH($G23,$A$366:$A$379,0),1)</f>
        <v>1.50414</v>
      </c>
      <c r="I23" s="17">
        <f t="shared" ref="I23:I86" si="1">F23/H23*10^-3</f>
        <v>9753.4398393766551</v>
      </c>
    </row>
    <row r="24" spans="1:9" x14ac:dyDescent="0.2">
      <c r="A24" s="109" t="s">
        <v>403</v>
      </c>
      <c r="B24" s="109" t="s">
        <v>404</v>
      </c>
      <c r="C24" s="109" t="s">
        <v>405</v>
      </c>
      <c r="D24" s="109" t="s">
        <v>409</v>
      </c>
      <c r="E24" s="109" t="s">
        <v>407</v>
      </c>
      <c r="F24" s="17">
        <v>85651847</v>
      </c>
      <c r="G24" t="s">
        <v>8</v>
      </c>
      <c r="H24">
        <f t="shared" ref="H24:H86" si="2">INDEX($B$366:$B$379,MATCH($G24,$A$366:$A$379,0),1)</f>
        <v>1.50414</v>
      </c>
      <c r="I24" s="17">
        <f t="shared" si="1"/>
        <v>56944.065711968302</v>
      </c>
    </row>
    <row r="25" spans="1:9" x14ac:dyDescent="0.2">
      <c r="A25" s="109" t="s">
        <v>403</v>
      </c>
      <c r="B25" s="109" t="s">
        <v>404</v>
      </c>
      <c r="C25" s="109" t="s">
        <v>405</v>
      </c>
      <c r="D25" s="109" t="s">
        <v>410</v>
      </c>
      <c r="E25" s="109" t="s">
        <v>407</v>
      </c>
      <c r="F25" s="17">
        <v>125479</v>
      </c>
      <c r="G25" t="s">
        <v>8</v>
      </c>
      <c r="H25">
        <f t="shared" si="2"/>
        <v>1.50414</v>
      </c>
      <c r="I25" s="17">
        <f t="shared" si="1"/>
        <v>83.422420785299238</v>
      </c>
    </row>
    <row r="26" spans="1:9" x14ac:dyDescent="0.2">
      <c r="A26" s="109" t="s">
        <v>403</v>
      </c>
      <c r="B26" s="109" t="s">
        <v>411</v>
      </c>
      <c r="C26" s="109" t="s">
        <v>412</v>
      </c>
      <c r="D26" s="109" t="s">
        <v>406</v>
      </c>
      <c r="E26" s="109" t="s">
        <v>407</v>
      </c>
      <c r="F26" s="17">
        <v>0</v>
      </c>
      <c r="G26" t="s">
        <v>19</v>
      </c>
      <c r="H26">
        <f t="shared" si="2"/>
        <v>1.4499599999999999</v>
      </c>
      <c r="I26" s="17">
        <f t="shared" si="1"/>
        <v>0</v>
      </c>
    </row>
    <row r="27" spans="1:9" x14ac:dyDescent="0.2">
      <c r="A27" s="109" t="s">
        <v>403</v>
      </c>
      <c r="B27" s="109" t="s">
        <v>411</v>
      </c>
      <c r="C27" s="109" t="s">
        <v>412</v>
      </c>
      <c r="D27" s="109" t="s">
        <v>408</v>
      </c>
      <c r="E27" s="109" t="s">
        <v>407</v>
      </c>
      <c r="F27" s="17">
        <v>67007486</v>
      </c>
      <c r="G27" t="s">
        <v>19</v>
      </c>
      <c r="H27">
        <f t="shared" si="2"/>
        <v>1.4499599999999999</v>
      </c>
      <c r="I27" s="17">
        <f t="shared" si="1"/>
        <v>46213.334160942373</v>
      </c>
    </row>
    <row r="28" spans="1:9" x14ac:dyDescent="0.2">
      <c r="A28" s="109" t="s">
        <v>403</v>
      </c>
      <c r="B28" s="109" t="s">
        <v>411</v>
      </c>
      <c r="C28" s="109" t="s">
        <v>412</v>
      </c>
      <c r="D28" s="109" t="s">
        <v>409</v>
      </c>
      <c r="E28" s="109" t="s">
        <v>407</v>
      </c>
      <c r="F28" s="17">
        <v>3965855</v>
      </c>
      <c r="G28" t="s">
        <v>19</v>
      </c>
      <c r="H28">
        <f t="shared" si="2"/>
        <v>1.4499599999999999</v>
      </c>
      <c r="I28" s="17">
        <f t="shared" si="1"/>
        <v>2735.1478661480319</v>
      </c>
    </row>
    <row r="29" spans="1:9" x14ac:dyDescent="0.2">
      <c r="A29" s="109" t="s">
        <v>403</v>
      </c>
      <c r="B29" s="109" t="s">
        <v>411</v>
      </c>
      <c r="C29" s="109" t="s">
        <v>412</v>
      </c>
      <c r="D29" s="109" t="s">
        <v>410</v>
      </c>
      <c r="E29" s="109" t="s">
        <v>407</v>
      </c>
      <c r="F29" s="17">
        <v>199623</v>
      </c>
      <c r="G29" t="s">
        <v>19</v>
      </c>
      <c r="H29">
        <f t="shared" si="2"/>
        <v>1.4499599999999999</v>
      </c>
      <c r="I29" s="17">
        <f t="shared" si="1"/>
        <v>137.67483240916991</v>
      </c>
    </row>
    <row r="30" spans="1:9" x14ac:dyDescent="0.2">
      <c r="A30" s="109" t="s">
        <v>403</v>
      </c>
      <c r="B30" s="109" t="s">
        <v>413</v>
      </c>
      <c r="C30" s="109" t="s">
        <v>414</v>
      </c>
      <c r="D30" s="109" t="s">
        <v>408</v>
      </c>
      <c r="E30" s="109" t="s">
        <v>407</v>
      </c>
      <c r="F30" s="17">
        <v>222789510</v>
      </c>
      <c r="G30" t="s">
        <v>8</v>
      </c>
      <c r="H30">
        <f t="shared" si="2"/>
        <v>1.50414</v>
      </c>
      <c r="I30" s="17">
        <f t="shared" si="1"/>
        <v>148117.53560173919</v>
      </c>
    </row>
    <row r="31" spans="1:9" x14ac:dyDescent="0.2">
      <c r="A31" s="109" t="s">
        <v>403</v>
      </c>
      <c r="B31" s="109" t="s">
        <v>413</v>
      </c>
      <c r="C31" s="109" t="s">
        <v>414</v>
      </c>
      <c r="D31" s="109" t="s">
        <v>409</v>
      </c>
      <c r="E31" s="109" t="s">
        <v>407</v>
      </c>
      <c r="F31" s="17">
        <v>21746150</v>
      </c>
      <c r="G31" t="s">
        <v>8</v>
      </c>
      <c r="H31">
        <f t="shared" si="2"/>
        <v>1.50414</v>
      </c>
      <c r="I31" s="17">
        <f t="shared" si="1"/>
        <v>14457.530549018044</v>
      </c>
    </row>
    <row r="32" spans="1:9" x14ac:dyDescent="0.2">
      <c r="A32" s="109" t="s">
        <v>403</v>
      </c>
      <c r="B32" s="109" t="s">
        <v>413</v>
      </c>
      <c r="C32" s="109" t="s">
        <v>414</v>
      </c>
      <c r="D32" s="109" t="s">
        <v>410</v>
      </c>
      <c r="E32" s="109" t="s">
        <v>407</v>
      </c>
      <c r="F32" s="17">
        <v>188425</v>
      </c>
      <c r="G32" t="s">
        <v>8</v>
      </c>
      <c r="H32">
        <f t="shared" si="2"/>
        <v>1.50414</v>
      </c>
      <c r="I32" s="17">
        <f t="shared" si="1"/>
        <v>125.2709189304187</v>
      </c>
    </row>
    <row r="33" spans="1:9" x14ac:dyDescent="0.2">
      <c r="A33" s="109" t="s">
        <v>403</v>
      </c>
      <c r="B33" s="109" t="s">
        <v>413</v>
      </c>
      <c r="C33" s="109" t="s">
        <v>414</v>
      </c>
      <c r="D33" s="109" t="s">
        <v>415</v>
      </c>
      <c r="E33" s="109" t="s">
        <v>407</v>
      </c>
      <c r="F33" s="17">
        <v>109135</v>
      </c>
      <c r="G33" t="s">
        <v>8</v>
      </c>
      <c r="H33">
        <f t="shared" si="2"/>
        <v>1.50414</v>
      </c>
      <c r="I33" s="17">
        <f t="shared" si="1"/>
        <v>72.556410972382892</v>
      </c>
    </row>
    <row r="34" spans="1:9" x14ac:dyDescent="0.2">
      <c r="A34" s="109" t="s">
        <v>403</v>
      </c>
      <c r="B34" s="109" t="s">
        <v>416</v>
      </c>
      <c r="C34" s="109" t="s">
        <v>417</v>
      </c>
      <c r="D34" s="109" t="s">
        <v>408</v>
      </c>
      <c r="E34" s="109" t="s">
        <v>407</v>
      </c>
      <c r="F34" s="17">
        <v>249520916</v>
      </c>
      <c r="G34" t="s">
        <v>8</v>
      </c>
      <c r="H34">
        <f t="shared" si="2"/>
        <v>1.50414</v>
      </c>
      <c r="I34" s="17">
        <f t="shared" si="1"/>
        <v>165889.42252715837</v>
      </c>
    </row>
    <row r="35" spans="1:9" x14ac:dyDescent="0.2">
      <c r="A35" s="109" t="s">
        <v>403</v>
      </c>
      <c r="B35" s="109" t="s">
        <v>416</v>
      </c>
      <c r="C35" s="109" t="s">
        <v>417</v>
      </c>
      <c r="D35" s="109" t="s">
        <v>409</v>
      </c>
      <c r="E35" s="109" t="s">
        <v>407</v>
      </c>
      <c r="F35" s="17">
        <v>10310937</v>
      </c>
      <c r="G35" t="s">
        <v>8</v>
      </c>
      <c r="H35">
        <f t="shared" si="2"/>
        <v>1.50414</v>
      </c>
      <c r="I35" s="17">
        <f t="shared" si="1"/>
        <v>6855.0380948581915</v>
      </c>
    </row>
    <row r="36" spans="1:9" x14ac:dyDescent="0.2">
      <c r="A36" s="109" t="s">
        <v>403</v>
      </c>
      <c r="B36" s="109" t="s">
        <v>416</v>
      </c>
      <c r="C36" s="109" t="s">
        <v>417</v>
      </c>
      <c r="D36" s="109" t="s">
        <v>410</v>
      </c>
      <c r="E36" s="109" t="s">
        <v>407</v>
      </c>
      <c r="F36" s="17">
        <v>15427</v>
      </c>
      <c r="G36" t="s">
        <v>8</v>
      </c>
      <c r="H36">
        <f t="shared" si="2"/>
        <v>1.50414</v>
      </c>
      <c r="I36" s="17">
        <f t="shared" si="1"/>
        <v>10.256359115507864</v>
      </c>
    </row>
    <row r="37" spans="1:9" x14ac:dyDescent="0.2">
      <c r="A37" s="109" t="s">
        <v>403</v>
      </c>
      <c r="B37" s="109" t="s">
        <v>416</v>
      </c>
      <c r="C37" s="109" t="s">
        <v>417</v>
      </c>
      <c r="D37" s="109" t="s">
        <v>415</v>
      </c>
      <c r="E37" s="109" t="s">
        <v>407</v>
      </c>
      <c r="F37" s="17">
        <v>400</v>
      </c>
      <c r="G37" t="s">
        <v>8</v>
      </c>
      <c r="H37">
        <f t="shared" si="2"/>
        <v>1.50414</v>
      </c>
      <c r="I37" s="17">
        <f t="shared" si="1"/>
        <v>0.26593269243554457</v>
      </c>
    </row>
    <row r="38" spans="1:9" x14ac:dyDescent="0.2">
      <c r="A38" s="109" t="s">
        <v>403</v>
      </c>
      <c r="B38" s="109" t="s">
        <v>418</v>
      </c>
      <c r="C38" s="109" t="s">
        <v>419</v>
      </c>
      <c r="D38" s="109" t="s">
        <v>406</v>
      </c>
      <c r="E38" s="109" t="s">
        <v>407</v>
      </c>
      <c r="F38" s="17">
        <v>0</v>
      </c>
      <c r="G38" t="s">
        <v>1</v>
      </c>
      <c r="H38">
        <f t="shared" si="2"/>
        <v>1.46974</v>
      </c>
      <c r="I38" s="17">
        <f t="shared" si="1"/>
        <v>0</v>
      </c>
    </row>
    <row r="39" spans="1:9" x14ac:dyDescent="0.2">
      <c r="A39" s="109" t="s">
        <v>403</v>
      </c>
      <c r="B39" s="109" t="s">
        <v>418</v>
      </c>
      <c r="C39" s="109" t="s">
        <v>419</v>
      </c>
      <c r="D39" s="109" t="s">
        <v>408</v>
      </c>
      <c r="E39" s="109" t="s">
        <v>407</v>
      </c>
      <c r="F39" s="17">
        <v>90715117</v>
      </c>
      <c r="G39" t="s">
        <v>1</v>
      </c>
      <c r="H39">
        <f t="shared" si="2"/>
        <v>1.46974</v>
      </c>
      <c r="I39" s="17">
        <f t="shared" si="1"/>
        <v>61721.880740811299</v>
      </c>
    </row>
    <row r="40" spans="1:9" x14ac:dyDescent="0.2">
      <c r="A40" s="109" t="s">
        <v>403</v>
      </c>
      <c r="B40" s="109" t="s">
        <v>418</v>
      </c>
      <c r="C40" s="109" t="s">
        <v>419</v>
      </c>
      <c r="D40" s="109" t="s">
        <v>409</v>
      </c>
      <c r="E40" s="109" t="s">
        <v>407</v>
      </c>
      <c r="F40" s="17">
        <v>14136828</v>
      </c>
      <c r="G40" t="s">
        <v>1</v>
      </c>
      <c r="H40">
        <f t="shared" si="2"/>
        <v>1.46974</v>
      </c>
      <c r="I40" s="17">
        <f t="shared" si="1"/>
        <v>9618.5910433137833</v>
      </c>
    </row>
    <row r="41" spans="1:9" x14ac:dyDescent="0.2">
      <c r="A41" s="109" t="s">
        <v>403</v>
      </c>
      <c r="B41" s="109" t="s">
        <v>418</v>
      </c>
      <c r="C41" s="109" t="s">
        <v>419</v>
      </c>
      <c r="D41" s="109" t="s">
        <v>410</v>
      </c>
      <c r="E41" s="109" t="s">
        <v>407</v>
      </c>
      <c r="F41" s="17">
        <v>41371</v>
      </c>
      <c r="G41" t="s">
        <v>1</v>
      </c>
      <c r="H41">
        <f t="shared" si="2"/>
        <v>1.46974</v>
      </c>
      <c r="I41" s="17">
        <f t="shared" si="1"/>
        <v>28.148516064065753</v>
      </c>
    </row>
    <row r="42" spans="1:9" x14ac:dyDescent="0.2">
      <c r="A42" s="109" t="s">
        <v>403</v>
      </c>
      <c r="B42" s="109" t="s">
        <v>420</v>
      </c>
      <c r="C42" s="109" t="s">
        <v>421</v>
      </c>
      <c r="D42" s="109" t="s">
        <v>406</v>
      </c>
      <c r="E42" s="109" t="s">
        <v>407</v>
      </c>
      <c r="F42" s="17">
        <v>0</v>
      </c>
      <c r="G42" t="s">
        <v>1</v>
      </c>
      <c r="H42">
        <f t="shared" si="2"/>
        <v>1.46974</v>
      </c>
      <c r="I42" s="17">
        <f t="shared" si="1"/>
        <v>0</v>
      </c>
    </row>
    <row r="43" spans="1:9" x14ac:dyDescent="0.2">
      <c r="A43" s="109" t="s">
        <v>403</v>
      </c>
      <c r="B43" s="109" t="s">
        <v>420</v>
      </c>
      <c r="C43" s="109" t="s">
        <v>421</v>
      </c>
      <c r="D43" s="109" t="s">
        <v>408</v>
      </c>
      <c r="E43" s="109" t="s">
        <v>407</v>
      </c>
      <c r="F43" s="17">
        <v>1256402941</v>
      </c>
      <c r="G43" t="s">
        <v>1</v>
      </c>
      <c r="H43">
        <f t="shared" si="2"/>
        <v>1.46974</v>
      </c>
      <c r="I43" s="17">
        <f t="shared" si="1"/>
        <v>854847.07567324827</v>
      </c>
    </row>
    <row r="44" spans="1:9" x14ac:dyDescent="0.2">
      <c r="A44" s="109" t="s">
        <v>403</v>
      </c>
      <c r="B44" s="109" t="s">
        <v>420</v>
      </c>
      <c r="C44" s="109" t="s">
        <v>421</v>
      </c>
      <c r="D44" s="109" t="s">
        <v>409</v>
      </c>
      <c r="E44" s="109" t="s">
        <v>407</v>
      </c>
      <c r="F44" s="17">
        <v>67605725</v>
      </c>
      <c r="G44" t="s">
        <v>1</v>
      </c>
      <c r="H44">
        <f t="shared" si="2"/>
        <v>1.46974</v>
      </c>
      <c r="I44" s="17">
        <f t="shared" si="1"/>
        <v>45998.424891477407</v>
      </c>
    </row>
    <row r="45" spans="1:9" x14ac:dyDescent="0.2">
      <c r="A45" s="109" t="s">
        <v>403</v>
      </c>
      <c r="B45" s="109" t="s">
        <v>420</v>
      </c>
      <c r="C45" s="109" t="s">
        <v>421</v>
      </c>
      <c r="D45" s="109" t="s">
        <v>410</v>
      </c>
      <c r="E45" s="109" t="s">
        <v>407</v>
      </c>
      <c r="F45" s="17">
        <v>150407</v>
      </c>
      <c r="G45" t="s">
        <v>1</v>
      </c>
      <c r="H45">
        <f t="shared" si="2"/>
        <v>1.46974</v>
      </c>
      <c r="I45" s="17">
        <f t="shared" si="1"/>
        <v>102.33578728210432</v>
      </c>
    </row>
    <row r="46" spans="1:9" x14ac:dyDescent="0.2">
      <c r="A46" s="109" t="s">
        <v>403</v>
      </c>
      <c r="B46" s="109" t="s">
        <v>422</v>
      </c>
      <c r="C46" s="109" t="s">
        <v>423</v>
      </c>
      <c r="D46" s="109" t="s">
        <v>424</v>
      </c>
      <c r="E46" s="109" t="s">
        <v>407</v>
      </c>
      <c r="F46" s="17">
        <v>21570133</v>
      </c>
      <c r="G46" t="s">
        <v>573</v>
      </c>
      <c r="H46">
        <f t="shared" si="2"/>
        <v>2.4283174999999999</v>
      </c>
      <c r="I46" s="17">
        <f t="shared" si="1"/>
        <v>8882.7482402939477</v>
      </c>
    </row>
    <row r="47" spans="1:9" x14ac:dyDescent="0.2">
      <c r="A47" s="109" t="s">
        <v>403</v>
      </c>
      <c r="B47" s="109" t="s">
        <v>422</v>
      </c>
      <c r="C47" s="109" t="s">
        <v>423</v>
      </c>
      <c r="D47" s="109" t="s">
        <v>410</v>
      </c>
      <c r="E47" s="109" t="s">
        <v>407</v>
      </c>
      <c r="F47" s="17">
        <v>23264</v>
      </c>
      <c r="G47" t="s">
        <v>573</v>
      </c>
      <c r="H47">
        <f t="shared" si="2"/>
        <v>2.4283174999999999</v>
      </c>
      <c r="I47" s="17">
        <f t="shared" si="1"/>
        <v>9.5802958221072831</v>
      </c>
    </row>
    <row r="48" spans="1:9" x14ac:dyDescent="0.2">
      <c r="A48" s="109" t="s">
        <v>403</v>
      </c>
      <c r="B48" s="109" t="s">
        <v>425</v>
      </c>
      <c r="C48" s="109" t="s">
        <v>426</v>
      </c>
      <c r="D48" s="109" t="s">
        <v>408</v>
      </c>
      <c r="E48" s="109" t="s">
        <v>407</v>
      </c>
      <c r="F48" s="17">
        <v>88299410</v>
      </c>
      <c r="G48" t="s">
        <v>573</v>
      </c>
      <c r="H48">
        <f t="shared" si="2"/>
        <v>2.4283174999999999</v>
      </c>
      <c r="I48" s="17">
        <f t="shared" si="1"/>
        <v>36362.382596180272</v>
      </c>
    </row>
    <row r="49" spans="1:9" x14ac:dyDescent="0.2">
      <c r="A49" s="109" t="s">
        <v>403</v>
      </c>
      <c r="B49" s="109" t="s">
        <v>425</v>
      </c>
      <c r="C49" s="109" t="s">
        <v>426</v>
      </c>
      <c r="D49" s="109" t="s">
        <v>409</v>
      </c>
      <c r="E49" s="109" t="s">
        <v>407</v>
      </c>
      <c r="F49" s="17">
        <v>29145917</v>
      </c>
      <c r="G49" t="s">
        <v>573</v>
      </c>
      <c r="H49">
        <f t="shared" si="2"/>
        <v>2.4283174999999999</v>
      </c>
      <c r="I49" s="17">
        <f t="shared" si="1"/>
        <v>12002.514910014857</v>
      </c>
    </row>
    <row r="50" spans="1:9" x14ac:dyDescent="0.2">
      <c r="A50" s="109" t="s">
        <v>403</v>
      </c>
      <c r="B50" s="109" t="s">
        <v>425</v>
      </c>
      <c r="C50" s="109" t="s">
        <v>426</v>
      </c>
      <c r="D50" s="109" t="s">
        <v>410</v>
      </c>
      <c r="E50" s="109" t="s">
        <v>407</v>
      </c>
      <c r="F50" s="17">
        <v>195262</v>
      </c>
      <c r="G50" t="s">
        <v>573</v>
      </c>
      <c r="H50">
        <f t="shared" si="2"/>
        <v>2.4283174999999999</v>
      </c>
      <c r="I50" s="17">
        <f t="shared" si="1"/>
        <v>80.410407617620024</v>
      </c>
    </row>
    <row r="51" spans="1:9" x14ac:dyDescent="0.2">
      <c r="A51" s="109" t="s">
        <v>403</v>
      </c>
      <c r="B51" s="109" t="s">
        <v>427</v>
      </c>
      <c r="C51" s="109" t="s">
        <v>428</v>
      </c>
      <c r="D51" s="109" t="s">
        <v>408</v>
      </c>
      <c r="E51" s="109" t="s">
        <v>407</v>
      </c>
      <c r="F51" s="17">
        <v>1584105484</v>
      </c>
      <c r="G51" t="s">
        <v>573</v>
      </c>
      <c r="H51">
        <f t="shared" si="2"/>
        <v>2.4283174999999999</v>
      </c>
      <c r="I51" s="17">
        <f t="shared" si="1"/>
        <v>652346.93733418314</v>
      </c>
    </row>
    <row r="52" spans="1:9" x14ac:dyDescent="0.2">
      <c r="A52" s="109" t="s">
        <v>403</v>
      </c>
      <c r="B52" s="109" t="s">
        <v>427</v>
      </c>
      <c r="C52" s="109" t="s">
        <v>428</v>
      </c>
      <c r="D52" s="109" t="s">
        <v>409</v>
      </c>
      <c r="E52" s="109" t="s">
        <v>407</v>
      </c>
      <c r="F52" s="17">
        <v>16073561</v>
      </c>
      <c r="G52" t="s">
        <v>573</v>
      </c>
      <c r="H52">
        <f t="shared" si="2"/>
        <v>2.4283174999999999</v>
      </c>
      <c r="I52" s="17">
        <f t="shared" si="1"/>
        <v>6619.2172152117682</v>
      </c>
    </row>
    <row r="53" spans="1:9" x14ac:dyDescent="0.2">
      <c r="A53" s="109" t="s">
        <v>403</v>
      </c>
      <c r="B53" s="109" t="s">
        <v>427</v>
      </c>
      <c r="C53" s="109" t="s">
        <v>428</v>
      </c>
      <c r="D53" s="109" t="s">
        <v>410</v>
      </c>
      <c r="E53" s="109" t="s">
        <v>407</v>
      </c>
      <c r="F53" s="17">
        <v>698032</v>
      </c>
      <c r="G53" t="s">
        <v>573</v>
      </c>
      <c r="H53">
        <f t="shared" si="2"/>
        <v>2.4283174999999999</v>
      </c>
      <c r="I53" s="17">
        <f t="shared" si="1"/>
        <v>287.45499713278849</v>
      </c>
    </row>
    <row r="54" spans="1:9" x14ac:dyDescent="0.2">
      <c r="A54" s="109" t="s">
        <v>403</v>
      </c>
      <c r="B54" s="109" t="s">
        <v>429</v>
      </c>
      <c r="C54" s="109" t="s">
        <v>430</v>
      </c>
      <c r="D54" s="109" t="s">
        <v>424</v>
      </c>
      <c r="E54" s="109" t="s">
        <v>407</v>
      </c>
      <c r="F54" s="17">
        <v>135802759</v>
      </c>
      <c r="G54" t="s">
        <v>574</v>
      </c>
      <c r="H54">
        <f t="shared" si="2"/>
        <v>2.4283174999999999</v>
      </c>
      <c r="I54" s="17">
        <f t="shared" si="1"/>
        <v>55924.630531221723</v>
      </c>
    </row>
    <row r="55" spans="1:9" x14ac:dyDescent="0.2">
      <c r="A55" s="109" t="s">
        <v>403</v>
      </c>
      <c r="B55" s="109" t="s">
        <v>429</v>
      </c>
      <c r="C55" s="109" t="s">
        <v>430</v>
      </c>
      <c r="D55" s="109" t="s">
        <v>431</v>
      </c>
      <c r="E55" s="109" t="s">
        <v>407</v>
      </c>
      <c r="F55" s="17">
        <v>314640</v>
      </c>
      <c r="G55" t="s">
        <v>574</v>
      </c>
      <c r="H55">
        <f t="shared" si="2"/>
        <v>2.4283174999999999</v>
      </c>
      <c r="I55" s="17">
        <f t="shared" si="1"/>
        <v>129.5711948705225</v>
      </c>
    </row>
    <row r="56" spans="1:9" x14ac:dyDescent="0.2">
      <c r="A56" s="109" t="s">
        <v>403</v>
      </c>
      <c r="B56" s="109" t="s">
        <v>429</v>
      </c>
      <c r="C56" s="109" t="s">
        <v>430</v>
      </c>
      <c r="D56" s="109" t="s">
        <v>410</v>
      </c>
      <c r="E56" s="109" t="s">
        <v>407</v>
      </c>
      <c r="F56" s="17">
        <v>503810</v>
      </c>
      <c r="G56" t="s">
        <v>574</v>
      </c>
      <c r="H56">
        <f t="shared" si="2"/>
        <v>2.4283174999999999</v>
      </c>
      <c r="I56" s="17">
        <f t="shared" si="1"/>
        <v>207.47286958974681</v>
      </c>
    </row>
    <row r="57" spans="1:9" x14ac:dyDescent="0.2">
      <c r="A57" s="109" t="s">
        <v>403</v>
      </c>
      <c r="B57" s="109" t="s">
        <v>429</v>
      </c>
      <c r="C57" s="109" t="s">
        <v>430</v>
      </c>
      <c r="D57" s="109" t="s">
        <v>415</v>
      </c>
      <c r="E57" s="109" t="s">
        <v>407</v>
      </c>
      <c r="F57" s="17">
        <v>16720</v>
      </c>
      <c r="G57" t="s">
        <v>574</v>
      </c>
      <c r="H57">
        <f t="shared" si="2"/>
        <v>2.4283174999999999</v>
      </c>
      <c r="I57" s="17">
        <f t="shared" si="1"/>
        <v>6.8854258143755915</v>
      </c>
    </row>
    <row r="58" spans="1:9" x14ac:dyDescent="0.2">
      <c r="A58" s="109" t="s">
        <v>403</v>
      </c>
      <c r="B58" s="109" t="s">
        <v>432</v>
      </c>
      <c r="C58" s="109" t="s">
        <v>433</v>
      </c>
      <c r="D58" s="109" t="s">
        <v>406</v>
      </c>
      <c r="E58" s="109" t="s">
        <v>407</v>
      </c>
      <c r="F58" s="17">
        <v>0</v>
      </c>
      <c r="G58" t="s">
        <v>573</v>
      </c>
      <c r="H58">
        <f t="shared" si="2"/>
        <v>2.4283174999999999</v>
      </c>
      <c r="I58" s="17">
        <f t="shared" si="1"/>
        <v>0</v>
      </c>
    </row>
    <row r="59" spans="1:9" x14ac:dyDescent="0.2">
      <c r="A59" s="109" t="s">
        <v>403</v>
      </c>
      <c r="B59" s="109" t="s">
        <v>432</v>
      </c>
      <c r="C59" s="109" t="s">
        <v>433</v>
      </c>
      <c r="D59" s="109" t="s">
        <v>408</v>
      </c>
      <c r="E59" s="109" t="s">
        <v>407</v>
      </c>
      <c r="F59" s="17">
        <v>20483618</v>
      </c>
      <c r="G59" t="s">
        <v>573</v>
      </c>
      <c r="H59">
        <f t="shared" si="2"/>
        <v>2.4283174999999999</v>
      </c>
      <c r="I59" s="17">
        <f t="shared" si="1"/>
        <v>8435.3129275722804</v>
      </c>
    </row>
    <row r="60" spans="1:9" x14ac:dyDescent="0.2">
      <c r="A60" s="109" t="s">
        <v>403</v>
      </c>
      <c r="B60" s="109" t="s">
        <v>432</v>
      </c>
      <c r="C60" s="109" t="s">
        <v>433</v>
      </c>
      <c r="D60" s="109" t="s">
        <v>409</v>
      </c>
      <c r="E60" s="109" t="s">
        <v>407</v>
      </c>
      <c r="F60" s="17">
        <v>40530698</v>
      </c>
      <c r="G60" t="s">
        <v>573</v>
      </c>
      <c r="H60">
        <f t="shared" si="2"/>
        <v>2.4283174999999999</v>
      </c>
      <c r="I60" s="17">
        <f t="shared" si="1"/>
        <v>16690.856117455809</v>
      </c>
    </row>
    <row r="61" spans="1:9" x14ac:dyDescent="0.2">
      <c r="A61" s="109" t="s">
        <v>403</v>
      </c>
      <c r="B61" s="109" t="s">
        <v>432</v>
      </c>
      <c r="C61" s="109" t="s">
        <v>433</v>
      </c>
      <c r="D61" s="109" t="s">
        <v>410</v>
      </c>
      <c r="E61" s="109" t="s">
        <v>407</v>
      </c>
      <c r="F61" s="17">
        <v>14491</v>
      </c>
      <c r="G61" t="s">
        <v>573</v>
      </c>
      <c r="H61">
        <f t="shared" si="2"/>
        <v>2.4283174999999999</v>
      </c>
      <c r="I61" s="17">
        <f t="shared" si="1"/>
        <v>5.9675063083801856</v>
      </c>
    </row>
    <row r="62" spans="1:9" x14ac:dyDescent="0.2">
      <c r="A62" s="109" t="s">
        <v>403</v>
      </c>
      <c r="B62" s="109" t="s">
        <v>434</v>
      </c>
      <c r="C62" s="109" t="s">
        <v>435</v>
      </c>
      <c r="D62" s="109" t="s">
        <v>406</v>
      </c>
      <c r="E62" s="109" t="s">
        <v>407</v>
      </c>
      <c r="F62" s="17">
        <v>0</v>
      </c>
      <c r="G62" t="s">
        <v>574</v>
      </c>
      <c r="H62">
        <f t="shared" si="2"/>
        <v>2.4283174999999999</v>
      </c>
      <c r="I62" s="17">
        <f t="shared" si="1"/>
        <v>0</v>
      </c>
    </row>
    <row r="63" spans="1:9" x14ac:dyDescent="0.2">
      <c r="A63" s="109" t="s">
        <v>403</v>
      </c>
      <c r="B63" s="109" t="s">
        <v>434</v>
      </c>
      <c r="C63" s="109" t="s">
        <v>435</v>
      </c>
      <c r="D63" s="109" t="s">
        <v>408</v>
      </c>
      <c r="E63" s="109" t="s">
        <v>407</v>
      </c>
      <c r="F63" s="17">
        <v>10813186</v>
      </c>
      <c r="G63" t="s">
        <v>574</v>
      </c>
      <c r="H63">
        <f t="shared" si="2"/>
        <v>2.4283174999999999</v>
      </c>
      <c r="I63" s="17">
        <f t="shared" si="1"/>
        <v>4452.9539485672694</v>
      </c>
    </row>
    <row r="64" spans="1:9" x14ac:dyDescent="0.2">
      <c r="A64" s="109" t="s">
        <v>403</v>
      </c>
      <c r="B64" s="109" t="s">
        <v>434</v>
      </c>
      <c r="C64" s="109" t="s">
        <v>435</v>
      </c>
      <c r="D64" s="109" t="s">
        <v>431</v>
      </c>
      <c r="E64" s="109" t="s">
        <v>407</v>
      </c>
      <c r="F64" s="17">
        <v>3900</v>
      </c>
      <c r="G64" t="s">
        <v>574</v>
      </c>
      <c r="H64">
        <f t="shared" si="2"/>
        <v>2.4283174999999999</v>
      </c>
      <c r="I64" s="17">
        <f t="shared" si="1"/>
        <v>1.6060502796689478</v>
      </c>
    </row>
    <row r="65" spans="1:9" x14ac:dyDescent="0.2">
      <c r="A65" s="109" t="s">
        <v>403</v>
      </c>
      <c r="B65" s="109" t="s">
        <v>434</v>
      </c>
      <c r="C65" s="109" t="s">
        <v>435</v>
      </c>
      <c r="D65" s="109" t="s">
        <v>409</v>
      </c>
      <c r="E65" s="109" t="s">
        <v>407</v>
      </c>
      <c r="F65" s="17">
        <v>40141675</v>
      </c>
      <c r="G65" t="s">
        <v>574</v>
      </c>
      <c r="H65">
        <f t="shared" si="2"/>
        <v>2.4283174999999999</v>
      </c>
      <c r="I65" s="17">
        <f t="shared" si="1"/>
        <v>16530.653425674362</v>
      </c>
    </row>
    <row r="66" spans="1:9" x14ac:dyDescent="0.2">
      <c r="A66" s="109" t="s">
        <v>403</v>
      </c>
      <c r="B66" s="109" t="s">
        <v>434</v>
      </c>
      <c r="C66" s="109" t="s">
        <v>435</v>
      </c>
      <c r="D66" s="109" t="s">
        <v>410</v>
      </c>
      <c r="E66" s="109" t="s">
        <v>407</v>
      </c>
      <c r="F66" s="17">
        <v>2326965</v>
      </c>
      <c r="G66" t="s">
        <v>574</v>
      </c>
      <c r="H66">
        <f t="shared" si="2"/>
        <v>2.4283174999999999</v>
      </c>
      <c r="I66" s="17">
        <f t="shared" si="1"/>
        <v>958.26225359739828</v>
      </c>
    </row>
    <row r="67" spans="1:9" x14ac:dyDescent="0.2">
      <c r="A67" s="109" t="s">
        <v>403</v>
      </c>
      <c r="B67" s="109" t="s">
        <v>434</v>
      </c>
      <c r="C67" s="109" t="s">
        <v>435</v>
      </c>
      <c r="D67" s="109" t="s">
        <v>415</v>
      </c>
      <c r="E67" s="109" t="s">
        <v>407</v>
      </c>
      <c r="F67" s="17">
        <v>73760</v>
      </c>
      <c r="G67" t="s">
        <v>574</v>
      </c>
      <c r="H67">
        <f t="shared" si="2"/>
        <v>2.4283174999999999</v>
      </c>
      <c r="I67" s="17">
        <f t="shared" si="1"/>
        <v>30.374940673944</v>
      </c>
    </row>
    <row r="68" spans="1:9" x14ac:dyDescent="0.2">
      <c r="A68" s="109" t="s">
        <v>403</v>
      </c>
      <c r="B68" s="109" t="s">
        <v>436</v>
      </c>
      <c r="C68" s="109" t="s">
        <v>437</v>
      </c>
      <c r="D68" s="109" t="s">
        <v>406</v>
      </c>
      <c r="E68" s="109" t="s">
        <v>407</v>
      </c>
      <c r="F68" s="17">
        <v>0</v>
      </c>
      <c r="G68" t="s">
        <v>10</v>
      </c>
      <c r="H68">
        <f t="shared" si="2"/>
        <v>1.8292200000000001</v>
      </c>
      <c r="I68" s="17">
        <f t="shared" si="1"/>
        <v>0</v>
      </c>
    </row>
    <row r="69" spans="1:9" x14ac:dyDescent="0.2">
      <c r="A69" s="109" t="s">
        <v>403</v>
      </c>
      <c r="B69" s="109" t="s">
        <v>436</v>
      </c>
      <c r="C69" s="109" t="s">
        <v>437</v>
      </c>
      <c r="D69" s="109" t="s">
        <v>408</v>
      </c>
      <c r="E69" s="109" t="s">
        <v>407</v>
      </c>
      <c r="F69" s="17">
        <v>243712885</v>
      </c>
      <c r="G69" t="s">
        <v>10</v>
      </c>
      <c r="H69">
        <f t="shared" si="2"/>
        <v>1.8292200000000001</v>
      </c>
      <c r="I69" s="17">
        <f t="shared" si="1"/>
        <v>133233.2278238812</v>
      </c>
    </row>
    <row r="70" spans="1:9" x14ac:dyDescent="0.2">
      <c r="A70" s="109" t="s">
        <v>403</v>
      </c>
      <c r="B70" s="109" t="s">
        <v>436</v>
      </c>
      <c r="C70" s="109" t="s">
        <v>437</v>
      </c>
      <c r="D70" s="109" t="s">
        <v>431</v>
      </c>
      <c r="E70" s="109" t="s">
        <v>407</v>
      </c>
      <c r="F70" s="17">
        <v>14694124</v>
      </c>
      <c r="G70" t="s">
        <v>10</v>
      </c>
      <c r="H70">
        <f t="shared" si="2"/>
        <v>1.8292200000000001</v>
      </c>
      <c r="I70" s="17">
        <f t="shared" si="1"/>
        <v>8032.9998578629138</v>
      </c>
    </row>
    <row r="71" spans="1:9" x14ac:dyDescent="0.2">
      <c r="A71" s="109" t="s">
        <v>403</v>
      </c>
      <c r="B71" s="109" t="s">
        <v>436</v>
      </c>
      <c r="C71" s="109" t="s">
        <v>437</v>
      </c>
      <c r="D71" s="109" t="s">
        <v>409</v>
      </c>
      <c r="E71" s="109" t="s">
        <v>407</v>
      </c>
      <c r="F71" s="17">
        <v>150218946</v>
      </c>
      <c r="G71" t="s">
        <v>10</v>
      </c>
      <c r="H71">
        <f t="shared" si="2"/>
        <v>1.8292200000000001</v>
      </c>
      <c r="I71" s="17">
        <f t="shared" si="1"/>
        <v>82121.858497064328</v>
      </c>
    </row>
    <row r="72" spans="1:9" x14ac:dyDescent="0.2">
      <c r="A72" s="109" t="s">
        <v>403</v>
      </c>
      <c r="B72" s="109" t="s">
        <v>436</v>
      </c>
      <c r="C72" s="109" t="s">
        <v>437</v>
      </c>
      <c r="D72" s="109" t="s">
        <v>410</v>
      </c>
      <c r="E72" s="109" t="s">
        <v>407</v>
      </c>
      <c r="F72" s="17">
        <v>2062695</v>
      </c>
      <c r="G72" t="s">
        <v>10</v>
      </c>
      <c r="H72">
        <f t="shared" si="2"/>
        <v>1.8292200000000001</v>
      </c>
      <c r="I72" s="17">
        <f t="shared" si="1"/>
        <v>1127.6363696001574</v>
      </c>
    </row>
    <row r="73" spans="1:9" x14ac:dyDescent="0.2">
      <c r="A73" s="109" t="s">
        <v>403</v>
      </c>
      <c r="B73" s="109" t="s">
        <v>436</v>
      </c>
      <c r="C73" s="109" t="s">
        <v>437</v>
      </c>
      <c r="D73" s="109" t="s">
        <v>415</v>
      </c>
      <c r="E73" s="109" t="s">
        <v>407</v>
      </c>
      <c r="F73" s="17">
        <v>23584</v>
      </c>
      <c r="G73" t="s">
        <v>10</v>
      </c>
      <c r="H73">
        <f t="shared" si="2"/>
        <v>1.8292200000000001</v>
      </c>
      <c r="I73" s="17">
        <f t="shared" si="1"/>
        <v>12.892927039940522</v>
      </c>
    </row>
    <row r="74" spans="1:9" x14ac:dyDescent="0.2">
      <c r="A74" s="109" t="s">
        <v>403</v>
      </c>
      <c r="B74" s="109" t="s">
        <v>438</v>
      </c>
      <c r="C74" s="109" t="s">
        <v>439</v>
      </c>
      <c r="D74" s="109" t="s">
        <v>424</v>
      </c>
      <c r="E74" s="109" t="s">
        <v>407</v>
      </c>
      <c r="F74" s="17">
        <v>3239864</v>
      </c>
      <c r="G74" t="s">
        <v>574</v>
      </c>
      <c r="H74">
        <f t="shared" si="2"/>
        <v>2.4283174999999999</v>
      </c>
      <c r="I74" s="17">
        <f t="shared" si="1"/>
        <v>1334.2011495613733</v>
      </c>
    </row>
    <row r="75" spans="1:9" x14ac:dyDescent="0.2">
      <c r="A75" s="109" t="s">
        <v>403</v>
      </c>
      <c r="B75" s="109" t="s">
        <v>438</v>
      </c>
      <c r="C75" s="109" t="s">
        <v>439</v>
      </c>
      <c r="D75" s="109" t="s">
        <v>410</v>
      </c>
      <c r="E75" s="109" t="s">
        <v>407</v>
      </c>
      <c r="F75" s="17">
        <v>1355006</v>
      </c>
      <c r="G75" t="s">
        <v>574</v>
      </c>
      <c r="H75">
        <f t="shared" si="2"/>
        <v>2.4283174999999999</v>
      </c>
      <c r="I75" s="17">
        <f t="shared" si="1"/>
        <v>558.00199109053904</v>
      </c>
    </row>
    <row r="76" spans="1:9" x14ac:dyDescent="0.2">
      <c r="A76" s="109" t="s">
        <v>403</v>
      </c>
      <c r="B76" s="109" t="s">
        <v>440</v>
      </c>
      <c r="C76" s="109" t="s">
        <v>441</v>
      </c>
      <c r="D76" s="109" t="s">
        <v>406</v>
      </c>
      <c r="E76" s="109" t="s">
        <v>407</v>
      </c>
      <c r="F76" s="17">
        <v>0</v>
      </c>
      <c r="G76" t="s">
        <v>574</v>
      </c>
      <c r="H76">
        <f t="shared" si="2"/>
        <v>2.4283174999999999</v>
      </c>
      <c r="I76" s="17">
        <f t="shared" si="1"/>
        <v>0</v>
      </c>
    </row>
    <row r="77" spans="1:9" x14ac:dyDescent="0.2">
      <c r="A77" s="109" t="s">
        <v>403</v>
      </c>
      <c r="B77" s="109" t="s">
        <v>440</v>
      </c>
      <c r="C77" s="109" t="s">
        <v>441</v>
      </c>
      <c r="D77" s="109" t="s">
        <v>408</v>
      </c>
      <c r="E77" s="109" t="s">
        <v>407</v>
      </c>
      <c r="F77" s="17">
        <v>35377980</v>
      </c>
      <c r="G77" t="s">
        <v>574</v>
      </c>
      <c r="H77">
        <f t="shared" si="2"/>
        <v>2.4283174999999999</v>
      </c>
      <c r="I77" s="17">
        <f t="shared" si="1"/>
        <v>14568.926839262165</v>
      </c>
    </row>
    <row r="78" spans="1:9" x14ac:dyDescent="0.2">
      <c r="A78" s="109" t="s">
        <v>403</v>
      </c>
      <c r="B78" s="109" t="s">
        <v>440</v>
      </c>
      <c r="C78" s="109" t="s">
        <v>441</v>
      </c>
      <c r="D78" s="109" t="s">
        <v>431</v>
      </c>
      <c r="E78" s="109" t="s">
        <v>407</v>
      </c>
      <c r="F78" s="17">
        <v>54692889</v>
      </c>
      <c r="G78" t="s">
        <v>574</v>
      </c>
      <c r="H78">
        <f t="shared" si="2"/>
        <v>2.4283174999999999</v>
      </c>
      <c r="I78" s="17">
        <f t="shared" si="1"/>
        <v>22522.956326757107</v>
      </c>
    </row>
    <row r="79" spans="1:9" x14ac:dyDescent="0.2">
      <c r="A79" s="109" t="s">
        <v>403</v>
      </c>
      <c r="B79" s="109" t="s">
        <v>440</v>
      </c>
      <c r="C79" s="109" t="s">
        <v>441</v>
      </c>
      <c r="D79" s="109" t="s">
        <v>409</v>
      </c>
      <c r="E79" s="109" t="s">
        <v>407</v>
      </c>
      <c r="F79" s="17">
        <v>32266000</v>
      </c>
      <c r="G79" t="s">
        <v>574</v>
      </c>
      <c r="H79">
        <f t="shared" si="2"/>
        <v>2.4283174999999999</v>
      </c>
      <c r="I79" s="17">
        <f t="shared" si="1"/>
        <v>13287.389313794429</v>
      </c>
    </row>
    <row r="80" spans="1:9" x14ac:dyDescent="0.2">
      <c r="A80" s="109" t="s">
        <v>403</v>
      </c>
      <c r="B80" s="109" t="s">
        <v>440</v>
      </c>
      <c r="C80" s="109" t="s">
        <v>441</v>
      </c>
      <c r="D80" s="109" t="s">
        <v>410</v>
      </c>
      <c r="E80" s="109" t="s">
        <v>407</v>
      </c>
      <c r="F80" s="17">
        <v>15241</v>
      </c>
      <c r="G80" t="s">
        <v>574</v>
      </c>
      <c r="H80">
        <f t="shared" si="2"/>
        <v>2.4283174999999999</v>
      </c>
      <c r="I80" s="17">
        <f t="shared" si="1"/>
        <v>6.2763621313934443</v>
      </c>
    </row>
    <row r="81" spans="1:9" x14ac:dyDescent="0.2">
      <c r="A81" s="109" t="s">
        <v>403</v>
      </c>
      <c r="B81" s="109" t="s">
        <v>442</v>
      </c>
      <c r="C81" s="109" t="s">
        <v>443</v>
      </c>
      <c r="D81" s="109" t="s">
        <v>406</v>
      </c>
      <c r="E81" s="109" t="s">
        <v>407</v>
      </c>
      <c r="F81" s="17">
        <v>0</v>
      </c>
      <c r="G81" t="s">
        <v>573</v>
      </c>
      <c r="H81">
        <f t="shared" si="2"/>
        <v>2.4283174999999999</v>
      </c>
      <c r="I81" s="17">
        <f t="shared" si="1"/>
        <v>0</v>
      </c>
    </row>
    <row r="82" spans="1:9" x14ac:dyDescent="0.2">
      <c r="A82" s="109" t="s">
        <v>403</v>
      </c>
      <c r="B82" s="109" t="s">
        <v>442</v>
      </c>
      <c r="C82" s="109" t="s">
        <v>443</v>
      </c>
      <c r="D82" s="109" t="s">
        <v>408</v>
      </c>
      <c r="E82" s="109" t="s">
        <v>407</v>
      </c>
      <c r="F82" s="17">
        <v>262166046</v>
      </c>
      <c r="G82" t="s">
        <v>573</v>
      </c>
      <c r="H82">
        <f t="shared" si="2"/>
        <v>2.4283174999999999</v>
      </c>
      <c r="I82" s="17">
        <f t="shared" si="1"/>
        <v>107962.01320461596</v>
      </c>
    </row>
    <row r="83" spans="1:9" x14ac:dyDescent="0.2">
      <c r="A83" s="109" t="s">
        <v>403</v>
      </c>
      <c r="B83" s="109" t="s">
        <v>442</v>
      </c>
      <c r="C83" s="109" t="s">
        <v>443</v>
      </c>
      <c r="D83" s="109" t="s">
        <v>431</v>
      </c>
      <c r="E83" s="109" t="s">
        <v>407</v>
      </c>
      <c r="F83" s="17">
        <v>19014286</v>
      </c>
      <c r="G83" t="s">
        <v>573</v>
      </c>
      <c r="H83">
        <f t="shared" si="2"/>
        <v>2.4283174999999999</v>
      </c>
      <c r="I83" s="17">
        <f t="shared" si="1"/>
        <v>7830.2306020526557</v>
      </c>
    </row>
    <row r="84" spans="1:9" x14ac:dyDescent="0.2">
      <c r="A84" s="109" t="s">
        <v>403</v>
      </c>
      <c r="B84" s="109" t="s">
        <v>442</v>
      </c>
      <c r="C84" s="109" t="s">
        <v>443</v>
      </c>
      <c r="D84" s="109" t="s">
        <v>409</v>
      </c>
      <c r="E84" s="109" t="s">
        <v>407</v>
      </c>
      <c r="F84" s="17">
        <v>119627540</v>
      </c>
      <c r="G84" t="s">
        <v>573</v>
      </c>
      <c r="H84">
        <f t="shared" si="2"/>
        <v>2.4283174999999999</v>
      </c>
      <c r="I84" s="17">
        <f t="shared" si="1"/>
        <v>49263.549762335453</v>
      </c>
    </row>
    <row r="85" spans="1:9" x14ac:dyDescent="0.2">
      <c r="A85" s="109" t="s">
        <v>403</v>
      </c>
      <c r="B85" s="109" t="s">
        <v>442</v>
      </c>
      <c r="C85" s="109" t="s">
        <v>443</v>
      </c>
      <c r="D85" s="109" t="s">
        <v>410</v>
      </c>
      <c r="E85" s="109" t="s">
        <v>407</v>
      </c>
      <c r="F85" s="17">
        <v>727225</v>
      </c>
      <c r="G85" t="s">
        <v>573</v>
      </c>
      <c r="H85">
        <f t="shared" si="2"/>
        <v>2.4283174999999999</v>
      </c>
      <c r="I85" s="17">
        <f t="shared" si="1"/>
        <v>299.4769011877566</v>
      </c>
    </row>
    <row r="86" spans="1:9" x14ac:dyDescent="0.2">
      <c r="A86" s="109" t="s">
        <v>403</v>
      </c>
      <c r="B86" s="109" t="s">
        <v>444</v>
      </c>
      <c r="C86" s="109" t="s">
        <v>445</v>
      </c>
      <c r="D86" s="109" t="s">
        <v>408</v>
      </c>
      <c r="E86" s="109" t="s">
        <v>407</v>
      </c>
      <c r="F86" s="17">
        <v>10204916</v>
      </c>
      <c r="G86" t="s">
        <v>574</v>
      </c>
      <c r="H86">
        <f t="shared" si="2"/>
        <v>2.4283174999999999</v>
      </c>
      <c r="I86" s="17">
        <f t="shared" si="1"/>
        <v>4202.4636399482361</v>
      </c>
    </row>
    <row r="87" spans="1:9" x14ac:dyDescent="0.2">
      <c r="A87" s="109" t="s">
        <v>403</v>
      </c>
      <c r="B87" s="109" t="s">
        <v>444</v>
      </c>
      <c r="C87" s="109" t="s">
        <v>445</v>
      </c>
      <c r="D87" s="109" t="s">
        <v>409</v>
      </c>
      <c r="E87" s="109" t="s">
        <v>407</v>
      </c>
      <c r="F87" s="17">
        <v>14891762</v>
      </c>
      <c r="G87" t="s">
        <v>574</v>
      </c>
      <c r="H87">
        <f t="shared" ref="H87:H150" si="3">INDEX($B$366:$B$379,MATCH($G87,$A$366:$A$379,0),1)</f>
        <v>2.4283174999999999</v>
      </c>
      <c r="I87" s="17">
        <f t="shared" ref="I87:I150" si="4">F87/H87*10^-3</f>
        <v>6132.5432115034391</v>
      </c>
    </row>
    <row r="88" spans="1:9" x14ac:dyDescent="0.2">
      <c r="A88" s="109" t="s">
        <v>403</v>
      </c>
      <c r="B88" s="109" t="s">
        <v>444</v>
      </c>
      <c r="C88" s="109" t="s">
        <v>445</v>
      </c>
      <c r="D88" s="109" t="s">
        <v>410</v>
      </c>
      <c r="E88" s="109" t="s">
        <v>407</v>
      </c>
      <c r="F88" s="17">
        <v>42195</v>
      </c>
      <c r="G88" t="s">
        <v>574</v>
      </c>
      <c r="H88">
        <f t="shared" si="3"/>
        <v>2.4283174999999999</v>
      </c>
      <c r="I88" s="17">
        <f t="shared" si="4"/>
        <v>17.376228602725963</v>
      </c>
    </row>
    <row r="89" spans="1:9" x14ac:dyDescent="0.2">
      <c r="A89" s="109" t="s">
        <v>403</v>
      </c>
      <c r="B89" s="109" t="s">
        <v>446</v>
      </c>
      <c r="C89" s="109" t="s">
        <v>447</v>
      </c>
      <c r="D89" s="109" t="s">
        <v>406</v>
      </c>
      <c r="E89" s="109" t="s">
        <v>407</v>
      </c>
      <c r="F89" s="17">
        <v>0</v>
      </c>
      <c r="G89" t="s">
        <v>574</v>
      </c>
      <c r="H89">
        <f t="shared" si="3"/>
        <v>2.4283174999999999</v>
      </c>
      <c r="I89" s="17">
        <f t="shared" si="4"/>
        <v>0</v>
      </c>
    </row>
    <row r="90" spans="1:9" x14ac:dyDescent="0.2">
      <c r="A90" s="109" t="s">
        <v>403</v>
      </c>
      <c r="B90" s="109" t="s">
        <v>446</v>
      </c>
      <c r="C90" s="109" t="s">
        <v>447</v>
      </c>
      <c r="D90" s="109" t="s">
        <v>424</v>
      </c>
      <c r="E90" s="109" t="s">
        <v>407</v>
      </c>
      <c r="F90" s="17">
        <v>18000</v>
      </c>
      <c r="G90" t="s">
        <v>574</v>
      </c>
      <c r="H90">
        <f t="shared" si="3"/>
        <v>2.4283174999999999</v>
      </c>
      <c r="I90" s="17">
        <f t="shared" si="4"/>
        <v>7.4125397523182208</v>
      </c>
    </row>
    <row r="91" spans="1:9" x14ac:dyDescent="0.2">
      <c r="A91" s="109" t="s">
        <v>403</v>
      </c>
      <c r="B91" s="109" t="s">
        <v>446</v>
      </c>
      <c r="C91" s="109" t="s">
        <v>447</v>
      </c>
      <c r="D91" s="109" t="s">
        <v>408</v>
      </c>
      <c r="E91" s="109" t="s">
        <v>407</v>
      </c>
      <c r="F91" s="17">
        <v>57479027</v>
      </c>
      <c r="G91" t="s">
        <v>574</v>
      </c>
      <c r="H91">
        <f t="shared" si="3"/>
        <v>2.4283174999999999</v>
      </c>
      <c r="I91" s="17">
        <f t="shared" si="4"/>
        <v>23670.309586781797</v>
      </c>
    </row>
    <row r="92" spans="1:9" x14ac:dyDescent="0.2">
      <c r="A92" s="109" t="s">
        <v>403</v>
      </c>
      <c r="B92" s="109" t="s">
        <v>446</v>
      </c>
      <c r="C92" s="109" t="s">
        <v>447</v>
      </c>
      <c r="D92" s="109" t="s">
        <v>431</v>
      </c>
      <c r="E92" s="109" t="s">
        <v>407</v>
      </c>
      <c r="F92" s="17">
        <v>10721617</v>
      </c>
      <c r="G92" t="s">
        <v>574</v>
      </c>
      <c r="H92">
        <f t="shared" si="3"/>
        <v>2.4283174999999999</v>
      </c>
      <c r="I92" s="17">
        <f t="shared" si="4"/>
        <v>4415.2451234239352</v>
      </c>
    </row>
    <row r="93" spans="1:9" x14ac:dyDescent="0.2">
      <c r="A93" s="109" t="s">
        <v>403</v>
      </c>
      <c r="B93" s="109" t="s">
        <v>446</v>
      </c>
      <c r="C93" s="109" t="s">
        <v>447</v>
      </c>
      <c r="D93" s="109" t="s">
        <v>409</v>
      </c>
      <c r="E93" s="109" t="s">
        <v>407</v>
      </c>
      <c r="F93" s="17">
        <v>63784450</v>
      </c>
      <c r="G93" t="s">
        <v>574</v>
      </c>
      <c r="H93">
        <f t="shared" si="3"/>
        <v>2.4283174999999999</v>
      </c>
      <c r="I93" s="17">
        <f t="shared" si="4"/>
        <v>26266.931733597441</v>
      </c>
    </row>
    <row r="94" spans="1:9" x14ac:dyDescent="0.2">
      <c r="A94" s="109" t="s">
        <v>403</v>
      </c>
      <c r="B94" s="109" t="s">
        <v>446</v>
      </c>
      <c r="C94" s="109" t="s">
        <v>447</v>
      </c>
      <c r="D94" s="109" t="s">
        <v>410</v>
      </c>
      <c r="E94" s="109" t="s">
        <v>407</v>
      </c>
      <c r="F94" s="17">
        <v>1283260</v>
      </c>
      <c r="G94" t="s">
        <v>574</v>
      </c>
      <c r="H94">
        <f t="shared" si="3"/>
        <v>2.4283174999999999</v>
      </c>
      <c r="I94" s="17">
        <f t="shared" si="4"/>
        <v>528.45643125332674</v>
      </c>
    </row>
    <row r="95" spans="1:9" x14ac:dyDescent="0.2">
      <c r="A95" s="109" t="s">
        <v>403</v>
      </c>
      <c r="B95" s="109" t="s">
        <v>448</v>
      </c>
      <c r="C95" s="109" t="s">
        <v>449</v>
      </c>
      <c r="D95" s="109" t="s">
        <v>408</v>
      </c>
      <c r="E95" s="109" t="s">
        <v>407</v>
      </c>
      <c r="F95" s="17">
        <v>319064402</v>
      </c>
      <c r="G95" t="s">
        <v>25</v>
      </c>
      <c r="H95">
        <f t="shared" si="3"/>
        <v>2.8508999999999998</v>
      </c>
      <c r="I95" s="17">
        <f t="shared" si="4"/>
        <v>111917.07951874848</v>
      </c>
    </row>
    <row r="96" spans="1:9" x14ac:dyDescent="0.2">
      <c r="A96" s="109" t="s">
        <v>403</v>
      </c>
      <c r="B96" s="109" t="s">
        <v>448</v>
      </c>
      <c r="C96" s="109" t="s">
        <v>449</v>
      </c>
      <c r="D96" s="109" t="s">
        <v>409</v>
      </c>
      <c r="E96" s="109" t="s">
        <v>407</v>
      </c>
      <c r="F96" s="17">
        <v>22451373</v>
      </c>
      <c r="G96" t="s">
        <v>25</v>
      </c>
      <c r="H96">
        <f t="shared" si="3"/>
        <v>2.8508999999999998</v>
      </c>
      <c r="I96" s="17">
        <f t="shared" si="4"/>
        <v>7875.1878354203945</v>
      </c>
    </row>
    <row r="97" spans="1:9" x14ac:dyDescent="0.2">
      <c r="A97" s="109" t="s">
        <v>403</v>
      </c>
      <c r="B97" s="109" t="s">
        <v>448</v>
      </c>
      <c r="C97" s="109" t="s">
        <v>449</v>
      </c>
      <c r="D97" s="109" t="s">
        <v>410</v>
      </c>
      <c r="E97" s="109" t="s">
        <v>407</v>
      </c>
      <c r="F97" s="17">
        <v>85112</v>
      </c>
      <c r="G97" t="s">
        <v>25</v>
      </c>
      <c r="H97">
        <f t="shared" si="3"/>
        <v>2.8508999999999998</v>
      </c>
      <c r="I97" s="17">
        <f t="shared" si="4"/>
        <v>29.854431933775302</v>
      </c>
    </row>
    <row r="98" spans="1:9" x14ac:dyDescent="0.2">
      <c r="A98" s="109" t="s">
        <v>403</v>
      </c>
      <c r="B98" s="109" t="s">
        <v>450</v>
      </c>
      <c r="C98" s="109" t="s">
        <v>451</v>
      </c>
      <c r="D98" s="109" t="s">
        <v>406</v>
      </c>
      <c r="E98" s="109" t="s">
        <v>407</v>
      </c>
      <c r="F98" s="17">
        <v>0</v>
      </c>
      <c r="G98" t="s">
        <v>11</v>
      </c>
      <c r="H98">
        <f t="shared" si="3"/>
        <v>2.2721199999999997</v>
      </c>
      <c r="I98" s="17">
        <f t="shared" si="4"/>
        <v>0</v>
      </c>
    </row>
    <row r="99" spans="1:9" x14ac:dyDescent="0.2">
      <c r="A99" s="109" t="s">
        <v>403</v>
      </c>
      <c r="B99" s="109" t="s">
        <v>450</v>
      </c>
      <c r="C99" s="109" t="s">
        <v>451</v>
      </c>
      <c r="D99" s="109" t="s">
        <v>424</v>
      </c>
      <c r="E99" s="109" t="s">
        <v>407</v>
      </c>
      <c r="F99" s="17">
        <v>772110</v>
      </c>
      <c r="G99" t="s">
        <v>11</v>
      </c>
      <c r="H99">
        <f t="shared" si="3"/>
        <v>2.2721199999999997</v>
      </c>
      <c r="I99" s="17">
        <f t="shared" si="4"/>
        <v>339.81919969015729</v>
      </c>
    </row>
    <row r="100" spans="1:9" x14ac:dyDescent="0.2">
      <c r="A100" s="109" t="s">
        <v>403</v>
      </c>
      <c r="B100" s="109" t="s">
        <v>450</v>
      </c>
      <c r="C100" s="109" t="s">
        <v>451</v>
      </c>
      <c r="D100" s="109" t="s">
        <v>452</v>
      </c>
      <c r="E100" s="109" t="s">
        <v>407</v>
      </c>
      <c r="F100" s="17">
        <v>1765</v>
      </c>
      <c r="G100" t="s">
        <v>11</v>
      </c>
      <c r="H100">
        <f t="shared" si="3"/>
        <v>2.2721199999999997</v>
      </c>
      <c r="I100" s="17">
        <f t="shared" si="4"/>
        <v>0.77680756298082865</v>
      </c>
    </row>
    <row r="101" spans="1:9" x14ac:dyDescent="0.2">
      <c r="A101" s="109" t="s">
        <v>403</v>
      </c>
      <c r="B101" s="109" t="s">
        <v>450</v>
      </c>
      <c r="C101" s="109" t="s">
        <v>451</v>
      </c>
      <c r="D101" s="109" t="s">
        <v>408</v>
      </c>
      <c r="E101" s="109" t="s">
        <v>407</v>
      </c>
      <c r="F101" s="17">
        <v>105976929</v>
      </c>
      <c r="G101" t="s">
        <v>11</v>
      </c>
      <c r="H101">
        <f t="shared" si="3"/>
        <v>2.2721199999999997</v>
      </c>
      <c r="I101" s="17">
        <f t="shared" si="4"/>
        <v>46642.311585655698</v>
      </c>
    </row>
    <row r="102" spans="1:9" x14ac:dyDescent="0.2">
      <c r="A102" s="109" t="s">
        <v>403</v>
      </c>
      <c r="B102" s="109" t="s">
        <v>450</v>
      </c>
      <c r="C102" s="109" t="s">
        <v>451</v>
      </c>
      <c r="D102" s="109" t="s">
        <v>431</v>
      </c>
      <c r="E102" s="109" t="s">
        <v>407</v>
      </c>
      <c r="F102" s="17">
        <v>11145</v>
      </c>
      <c r="G102" t="s">
        <v>11</v>
      </c>
      <c r="H102">
        <f t="shared" si="3"/>
        <v>2.2721199999999997</v>
      </c>
      <c r="I102" s="17">
        <f t="shared" si="4"/>
        <v>4.9051106455644957</v>
      </c>
    </row>
    <row r="103" spans="1:9" x14ac:dyDescent="0.2">
      <c r="A103" s="109" t="s">
        <v>403</v>
      </c>
      <c r="B103" s="109" t="s">
        <v>450</v>
      </c>
      <c r="C103" s="109" t="s">
        <v>451</v>
      </c>
      <c r="D103" s="109" t="s">
        <v>409</v>
      </c>
      <c r="E103" s="109" t="s">
        <v>407</v>
      </c>
      <c r="F103" s="17">
        <v>22317769</v>
      </c>
      <c r="G103" t="s">
        <v>11</v>
      </c>
      <c r="H103">
        <f t="shared" si="3"/>
        <v>2.2721199999999997</v>
      </c>
      <c r="I103" s="17">
        <f t="shared" si="4"/>
        <v>9822.4429167473554</v>
      </c>
    </row>
    <row r="104" spans="1:9" x14ac:dyDescent="0.2">
      <c r="A104" s="109" t="s">
        <v>403</v>
      </c>
      <c r="B104" s="109" t="s">
        <v>450</v>
      </c>
      <c r="C104" s="109" t="s">
        <v>451</v>
      </c>
      <c r="D104" s="109" t="s">
        <v>410</v>
      </c>
      <c r="E104" s="109" t="s">
        <v>407</v>
      </c>
      <c r="F104" s="17">
        <v>1111419</v>
      </c>
      <c r="G104" t="s">
        <v>11</v>
      </c>
      <c r="H104">
        <f t="shared" si="3"/>
        <v>2.2721199999999997</v>
      </c>
      <c r="I104" s="17">
        <f t="shared" si="4"/>
        <v>489.15506223262867</v>
      </c>
    </row>
    <row r="105" spans="1:9" x14ac:dyDescent="0.2">
      <c r="A105" s="109" t="s">
        <v>403</v>
      </c>
      <c r="B105" s="109" t="s">
        <v>453</v>
      </c>
      <c r="C105" s="109" t="s">
        <v>454</v>
      </c>
      <c r="D105" s="109" t="s">
        <v>408</v>
      </c>
      <c r="E105" s="109" t="s">
        <v>407</v>
      </c>
      <c r="F105" s="17">
        <v>13349397</v>
      </c>
      <c r="G105" t="s">
        <v>573</v>
      </c>
      <c r="H105">
        <f t="shared" si="3"/>
        <v>2.4283174999999999</v>
      </c>
      <c r="I105" s="17">
        <f t="shared" si="4"/>
        <v>5497.3853295543113</v>
      </c>
    </row>
    <row r="106" spans="1:9" x14ac:dyDescent="0.2">
      <c r="A106" s="109" t="s">
        <v>403</v>
      </c>
      <c r="B106" s="109" t="s">
        <v>453</v>
      </c>
      <c r="C106" s="109" t="s">
        <v>454</v>
      </c>
      <c r="D106" s="109" t="s">
        <v>409</v>
      </c>
      <c r="E106" s="109" t="s">
        <v>407</v>
      </c>
      <c r="F106" s="17">
        <v>13675480</v>
      </c>
      <c r="G106" t="s">
        <v>573</v>
      </c>
      <c r="H106">
        <f t="shared" si="3"/>
        <v>2.4283174999999999</v>
      </c>
      <c r="I106" s="17">
        <f t="shared" si="4"/>
        <v>5631.6688406684871</v>
      </c>
    </row>
    <row r="107" spans="1:9" x14ac:dyDescent="0.2">
      <c r="A107" s="109" t="s">
        <v>403</v>
      </c>
      <c r="B107" s="109" t="s">
        <v>453</v>
      </c>
      <c r="C107" s="109" t="s">
        <v>454</v>
      </c>
      <c r="D107" s="109" t="s">
        <v>410</v>
      </c>
      <c r="E107" s="109" t="s">
        <v>407</v>
      </c>
      <c r="F107" s="17">
        <v>2389882</v>
      </c>
      <c r="G107" t="s">
        <v>573</v>
      </c>
      <c r="H107">
        <f t="shared" si="3"/>
        <v>2.4283174999999999</v>
      </c>
      <c r="I107" s="17">
        <f t="shared" si="4"/>
        <v>984.1719626860986</v>
      </c>
    </row>
    <row r="108" spans="1:9" x14ac:dyDescent="0.2">
      <c r="A108" s="109" t="s">
        <v>403</v>
      </c>
      <c r="B108" s="109" t="s">
        <v>455</v>
      </c>
      <c r="C108" s="109" t="s">
        <v>456</v>
      </c>
      <c r="D108" s="109" t="s">
        <v>406</v>
      </c>
      <c r="E108" s="109" t="s">
        <v>407</v>
      </c>
      <c r="F108" s="17">
        <v>0</v>
      </c>
      <c r="G108" t="s">
        <v>31</v>
      </c>
      <c r="H108">
        <f t="shared" si="3"/>
        <v>2.7167400000000002</v>
      </c>
      <c r="I108" s="17">
        <f t="shared" si="4"/>
        <v>0</v>
      </c>
    </row>
    <row r="109" spans="1:9" x14ac:dyDescent="0.2">
      <c r="A109" s="109" t="s">
        <v>403</v>
      </c>
      <c r="B109" s="109" t="s">
        <v>455</v>
      </c>
      <c r="C109" s="109" t="s">
        <v>456</v>
      </c>
      <c r="D109" s="109" t="s">
        <v>408</v>
      </c>
      <c r="E109" s="109" t="s">
        <v>407</v>
      </c>
      <c r="F109" s="17">
        <v>71802153</v>
      </c>
      <c r="G109" t="s">
        <v>31</v>
      </c>
      <c r="H109">
        <f t="shared" si="3"/>
        <v>2.7167400000000002</v>
      </c>
      <c r="I109" s="17">
        <f t="shared" si="4"/>
        <v>26429.526933015302</v>
      </c>
    </row>
    <row r="110" spans="1:9" x14ac:dyDescent="0.2">
      <c r="A110" s="109" t="s">
        <v>403</v>
      </c>
      <c r="B110" s="109" t="s">
        <v>455</v>
      </c>
      <c r="C110" s="109" t="s">
        <v>456</v>
      </c>
      <c r="D110" s="109" t="s">
        <v>409</v>
      </c>
      <c r="E110" s="109" t="s">
        <v>407</v>
      </c>
      <c r="F110" s="17">
        <v>99996161</v>
      </c>
      <c r="G110" t="s">
        <v>31</v>
      </c>
      <c r="H110">
        <f t="shared" si="3"/>
        <v>2.7167400000000002</v>
      </c>
      <c r="I110" s="17">
        <f t="shared" si="4"/>
        <v>36807.409247848525</v>
      </c>
    </row>
    <row r="111" spans="1:9" x14ac:dyDescent="0.2">
      <c r="A111" s="109" t="s">
        <v>403</v>
      </c>
      <c r="B111" s="109" t="s">
        <v>455</v>
      </c>
      <c r="C111" s="109" t="s">
        <v>456</v>
      </c>
      <c r="D111" s="109" t="s">
        <v>457</v>
      </c>
      <c r="E111" s="109" t="s">
        <v>407</v>
      </c>
      <c r="F111" s="17">
        <v>108828464</v>
      </c>
      <c r="G111" t="s">
        <v>31</v>
      </c>
      <c r="H111">
        <f t="shared" si="3"/>
        <v>2.7167400000000002</v>
      </c>
      <c r="I111" s="17">
        <f t="shared" si="4"/>
        <v>40058.475967519895</v>
      </c>
    </row>
    <row r="112" spans="1:9" x14ac:dyDescent="0.2">
      <c r="A112" s="109" t="s">
        <v>403</v>
      </c>
      <c r="B112" s="109" t="s">
        <v>455</v>
      </c>
      <c r="C112" s="109" t="s">
        <v>456</v>
      </c>
      <c r="D112" s="109" t="s">
        <v>410</v>
      </c>
      <c r="E112" s="109" t="s">
        <v>407</v>
      </c>
      <c r="F112" s="17">
        <v>958940</v>
      </c>
      <c r="G112" t="s">
        <v>31</v>
      </c>
      <c r="H112">
        <f t="shared" si="3"/>
        <v>2.7167400000000002</v>
      </c>
      <c r="I112" s="17">
        <f t="shared" si="4"/>
        <v>352.97452093317725</v>
      </c>
    </row>
    <row r="113" spans="1:9" x14ac:dyDescent="0.2">
      <c r="A113" s="109" t="s">
        <v>403</v>
      </c>
      <c r="B113" s="109" t="s">
        <v>455</v>
      </c>
      <c r="C113" s="109" t="s">
        <v>456</v>
      </c>
      <c r="D113" s="109" t="s">
        <v>415</v>
      </c>
      <c r="E113" s="109" t="s">
        <v>407</v>
      </c>
      <c r="F113" s="17">
        <v>19000</v>
      </c>
      <c r="G113" t="s">
        <v>31</v>
      </c>
      <c r="H113">
        <f t="shared" si="3"/>
        <v>2.7167400000000002</v>
      </c>
      <c r="I113" s="17">
        <f t="shared" si="4"/>
        <v>6.9936762443222387</v>
      </c>
    </row>
    <row r="114" spans="1:9" x14ac:dyDescent="0.2">
      <c r="A114" s="109" t="s">
        <v>403</v>
      </c>
      <c r="B114" s="109" t="s">
        <v>458</v>
      </c>
      <c r="C114" s="109" t="s">
        <v>459</v>
      </c>
      <c r="D114" s="109" t="s">
        <v>408</v>
      </c>
      <c r="E114" s="109" t="s">
        <v>407</v>
      </c>
      <c r="F114" s="17">
        <v>7418471</v>
      </c>
      <c r="G114" t="s">
        <v>573</v>
      </c>
      <c r="H114">
        <f t="shared" si="3"/>
        <v>2.4283174999999999</v>
      </c>
      <c r="I114" s="17">
        <f t="shared" si="4"/>
        <v>3054.9839549399944</v>
      </c>
    </row>
    <row r="115" spans="1:9" x14ac:dyDescent="0.2">
      <c r="A115" s="109" t="s">
        <v>403</v>
      </c>
      <c r="B115" s="109" t="s">
        <v>458</v>
      </c>
      <c r="C115" s="109" t="s">
        <v>459</v>
      </c>
      <c r="D115" s="109" t="s">
        <v>409</v>
      </c>
      <c r="E115" s="109" t="s">
        <v>407</v>
      </c>
      <c r="F115" s="17">
        <v>2611300</v>
      </c>
      <c r="G115" t="s">
        <v>573</v>
      </c>
      <c r="H115">
        <f t="shared" si="3"/>
        <v>2.4283174999999999</v>
      </c>
      <c r="I115" s="17">
        <f t="shared" si="4"/>
        <v>1075.353614179365</v>
      </c>
    </row>
    <row r="116" spans="1:9" x14ac:dyDescent="0.2">
      <c r="A116" s="109" t="s">
        <v>403</v>
      </c>
      <c r="B116" s="109" t="s">
        <v>458</v>
      </c>
      <c r="C116" s="109" t="s">
        <v>459</v>
      </c>
      <c r="D116" s="109" t="s">
        <v>410</v>
      </c>
      <c r="E116" s="109" t="s">
        <v>407</v>
      </c>
      <c r="F116" s="17">
        <v>14478</v>
      </c>
      <c r="G116" t="s">
        <v>573</v>
      </c>
      <c r="H116">
        <f t="shared" si="3"/>
        <v>2.4283174999999999</v>
      </c>
      <c r="I116" s="17">
        <f t="shared" si="4"/>
        <v>5.9621528074479562</v>
      </c>
    </row>
    <row r="117" spans="1:9" x14ac:dyDescent="0.2">
      <c r="A117" s="109" t="s">
        <v>403</v>
      </c>
      <c r="B117" s="109" t="s">
        <v>460</v>
      </c>
      <c r="C117" s="109" t="s">
        <v>461</v>
      </c>
      <c r="D117" s="109" t="s">
        <v>406</v>
      </c>
      <c r="E117" s="109" t="s">
        <v>407</v>
      </c>
      <c r="F117" s="17">
        <v>0</v>
      </c>
      <c r="G117" t="s">
        <v>574</v>
      </c>
      <c r="H117">
        <f t="shared" si="3"/>
        <v>2.4283174999999999</v>
      </c>
      <c r="I117" s="17">
        <f t="shared" si="4"/>
        <v>0</v>
      </c>
    </row>
    <row r="118" spans="1:9" x14ac:dyDescent="0.2">
      <c r="A118" s="109" t="s">
        <v>403</v>
      </c>
      <c r="B118" s="109" t="s">
        <v>460</v>
      </c>
      <c r="C118" s="109" t="s">
        <v>461</v>
      </c>
      <c r="D118" s="109" t="s">
        <v>408</v>
      </c>
      <c r="E118" s="109" t="s">
        <v>407</v>
      </c>
      <c r="F118" s="17">
        <v>255218577</v>
      </c>
      <c r="G118" t="s">
        <v>574</v>
      </c>
      <c r="H118">
        <f t="shared" si="3"/>
        <v>2.4283174999999999</v>
      </c>
      <c r="I118" s="17">
        <f t="shared" si="4"/>
        <v>105100.99153014382</v>
      </c>
    </row>
    <row r="119" spans="1:9" x14ac:dyDescent="0.2">
      <c r="A119" s="109" t="s">
        <v>403</v>
      </c>
      <c r="B119" s="109" t="s">
        <v>460</v>
      </c>
      <c r="C119" s="109" t="s">
        <v>461</v>
      </c>
      <c r="D119" s="109" t="s">
        <v>409</v>
      </c>
      <c r="E119" s="109" t="s">
        <v>407</v>
      </c>
      <c r="F119" s="17">
        <v>75162945</v>
      </c>
      <c r="G119" t="s">
        <v>574</v>
      </c>
      <c r="H119">
        <f t="shared" si="3"/>
        <v>2.4283174999999999</v>
      </c>
      <c r="I119" s="17">
        <f t="shared" si="4"/>
        <v>30952.684317433777</v>
      </c>
    </row>
    <row r="120" spans="1:9" x14ac:dyDescent="0.2">
      <c r="A120" s="109" t="s">
        <v>403</v>
      </c>
      <c r="B120" s="109" t="s">
        <v>460</v>
      </c>
      <c r="C120" s="109" t="s">
        <v>461</v>
      </c>
      <c r="D120" s="109" t="s">
        <v>410</v>
      </c>
      <c r="E120" s="109" t="s">
        <v>407</v>
      </c>
      <c r="F120" s="17">
        <v>9044815</v>
      </c>
      <c r="G120" t="s">
        <v>574</v>
      </c>
      <c r="H120">
        <f t="shared" si="3"/>
        <v>2.4283174999999999</v>
      </c>
      <c r="I120" s="17">
        <f t="shared" si="4"/>
        <v>3724.7250411035629</v>
      </c>
    </row>
    <row r="121" spans="1:9" x14ac:dyDescent="0.2">
      <c r="A121" s="109" t="s">
        <v>403</v>
      </c>
      <c r="B121" s="109" t="s">
        <v>462</v>
      </c>
      <c r="C121" s="109" t="s">
        <v>463</v>
      </c>
      <c r="D121" s="109" t="s">
        <v>406</v>
      </c>
      <c r="E121" s="109" t="s">
        <v>407</v>
      </c>
      <c r="F121" s="17">
        <v>0</v>
      </c>
      <c r="G121" t="s">
        <v>7</v>
      </c>
      <c r="H121">
        <f t="shared" si="3"/>
        <v>1.53424</v>
      </c>
      <c r="I121" s="17">
        <f t="shared" si="4"/>
        <v>0</v>
      </c>
    </row>
    <row r="122" spans="1:9" x14ac:dyDescent="0.2">
      <c r="A122" s="109" t="s">
        <v>403</v>
      </c>
      <c r="B122" s="109" t="s">
        <v>462</v>
      </c>
      <c r="C122" s="109" t="s">
        <v>463</v>
      </c>
      <c r="D122" s="109" t="s">
        <v>464</v>
      </c>
      <c r="E122" s="109" t="s">
        <v>407</v>
      </c>
      <c r="F122" s="17">
        <v>11030</v>
      </c>
      <c r="G122" t="s">
        <v>7</v>
      </c>
      <c r="H122">
        <f t="shared" si="3"/>
        <v>1.53424</v>
      </c>
      <c r="I122" s="17">
        <f t="shared" si="4"/>
        <v>7.1892272395453123</v>
      </c>
    </row>
    <row r="123" spans="1:9" x14ac:dyDescent="0.2">
      <c r="A123" s="109" t="s">
        <v>403</v>
      </c>
      <c r="B123" s="109" t="s">
        <v>462</v>
      </c>
      <c r="C123" s="109" t="s">
        <v>463</v>
      </c>
      <c r="D123" s="109" t="s">
        <v>408</v>
      </c>
      <c r="E123" s="109" t="s">
        <v>407</v>
      </c>
      <c r="F123" s="17">
        <v>214078176</v>
      </c>
      <c r="G123" t="s">
        <v>7</v>
      </c>
      <c r="H123">
        <f t="shared" si="3"/>
        <v>1.53424</v>
      </c>
      <c r="I123" s="17">
        <f t="shared" si="4"/>
        <v>139533.69485869227</v>
      </c>
    </row>
    <row r="124" spans="1:9" x14ac:dyDescent="0.2">
      <c r="A124" s="109" t="s">
        <v>403</v>
      </c>
      <c r="B124" s="109" t="s">
        <v>462</v>
      </c>
      <c r="C124" s="109" t="s">
        <v>463</v>
      </c>
      <c r="D124" s="109" t="s">
        <v>409</v>
      </c>
      <c r="E124" s="109" t="s">
        <v>407</v>
      </c>
      <c r="F124" s="17">
        <v>52540291</v>
      </c>
      <c r="G124" t="s">
        <v>7</v>
      </c>
      <c r="H124">
        <f t="shared" si="3"/>
        <v>1.53424</v>
      </c>
      <c r="I124" s="17">
        <f t="shared" si="4"/>
        <v>34245.157863176559</v>
      </c>
    </row>
    <row r="125" spans="1:9" x14ac:dyDescent="0.2">
      <c r="A125" s="109" t="s">
        <v>403</v>
      </c>
      <c r="B125" s="109" t="s">
        <v>462</v>
      </c>
      <c r="C125" s="109" t="s">
        <v>463</v>
      </c>
      <c r="D125" s="109" t="s">
        <v>457</v>
      </c>
      <c r="E125" s="109" t="s">
        <v>407</v>
      </c>
      <c r="F125" s="17">
        <v>1800702</v>
      </c>
      <c r="G125" t="s">
        <v>7</v>
      </c>
      <c r="H125">
        <f t="shared" si="3"/>
        <v>1.53424</v>
      </c>
      <c r="I125" s="17">
        <f t="shared" si="4"/>
        <v>1173.67686932944</v>
      </c>
    </row>
    <row r="126" spans="1:9" x14ac:dyDescent="0.2">
      <c r="A126" s="109" t="s">
        <v>403</v>
      </c>
      <c r="B126" s="109" t="s">
        <v>462</v>
      </c>
      <c r="C126" s="109" t="s">
        <v>463</v>
      </c>
      <c r="D126" s="109" t="s">
        <v>410</v>
      </c>
      <c r="E126" s="109" t="s">
        <v>407</v>
      </c>
      <c r="F126" s="17">
        <v>567118</v>
      </c>
      <c r="G126" t="s">
        <v>7</v>
      </c>
      <c r="H126">
        <f t="shared" si="3"/>
        <v>1.53424</v>
      </c>
      <c r="I126" s="17">
        <f t="shared" si="4"/>
        <v>369.64099488997812</v>
      </c>
    </row>
    <row r="127" spans="1:9" x14ac:dyDescent="0.2">
      <c r="A127" s="109" t="s">
        <v>403</v>
      </c>
      <c r="B127" s="109" t="s">
        <v>462</v>
      </c>
      <c r="C127" s="109" t="s">
        <v>463</v>
      </c>
      <c r="D127" s="109" t="s">
        <v>415</v>
      </c>
      <c r="E127" s="109" t="s">
        <v>407</v>
      </c>
      <c r="F127" s="17">
        <v>22640</v>
      </c>
      <c r="G127" t="s">
        <v>7</v>
      </c>
      <c r="H127">
        <f t="shared" si="3"/>
        <v>1.53424</v>
      </c>
      <c r="I127" s="17">
        <f t="shared" si="4"/>
        <v>14.756491813536345</v>
      </c>
    </row>
    <row r="128" spans="1:9" x14ac:dyDescent="0.2">
      <c r="A128" s="109" t="s">
        <v>403</v>
      </c>
      <c r="B128" s="109" t="s">
        <v>465</v>
      </c>
      <c r="C128" s="109" t="s">
        <v>466</v>
      </c>
      <c r="D128" s="109" t="s">
        <v>408</v>
      </c>
      <c r="E128" s="109" t="s">
        <v>407</v>
      </c>
      <c r="F128" s="17">
        <v>12530302</v>
      </c>
      <c r="G128" t="s">
        <v>574</v>
      </c>
      <c r="H128">
        <f t="shared" si="3"/>
        <v>2.4283174999999999</v>
      </c>
      <c r="I128" s="17">
        <f t="shared" si="4"/>
        <v>5160.0756490862505</v>
      </c>
    </row>
    <row r="129" spans="1:9" x14ac:dyDescent="0.2">
      <c r="A129" s="109" t="s">
        <v>403</v>
      </c>
      <c r="B129" s="109" t="s">
        <v>465</v>
      </c>
      <c r="C129" s="109" t="s">
        <v>466</v>
      </c>
      <c r="D129" s="109" t="s">
        <v>409</v>
      </c>
      <c r="E129" s="109" t="s">
        <v>407</v>
      </c>
      <c r="F129" s="17">
        <v>1472720</v>
      </c>
      <c r="G129" t="s">
        <v>574</v>
      </c>
      <c r="H129">
        <f t="shared" si="3"/>
        <v>2.4283174999999999</v>
      </c>
      <c r="I129" s="17">
        <f t="shared" si="4"/>
        <v>606.47753022411609</v>
      </c>
    </row>
    <row r="130" spans="1:9" x14ac:dyDescent="0.2">
      <c r="A130" s="109" t="s">
        <v>403</v>
      </c>
      <c r="B130" s="109" t="s">
        <v>465</v>
      </c>
      <c r="C130" s="109" t="s">
        <v>466</v>
      </c>
      <c r="D130" s="109" t="s">
        <v>410</v>
      </c>
      <c r="E130" s="109" t="s">
        <v>407</v>
      </c>
      <c r="F130" s="17">
        <v>1119014</v>
      </c>
      <c r="G130" t="s">
        <v>574</v>
      </c>
      <c r="H130">
        <f t="shared" si="3"/>
        <v>2.4283174999999999</v>
      </c>
      <c r="I130" s="17">
        <f t="shared" si="4"/>
        <v>460.81865324447898</v>
      </c>
    </row>
    <row r="131" spans="1:9" x14ac:dyDescent="0.2">
      <c r="A131" s="109" t="s">
        <v>403</v>
      </c>
      <c r="B131" s="109" t="s">
        <v>467</v>
      </c>
      <c r="C131" s="109" t="s">
        <v>468</v>
      </c>
      <c r="D131" s="109" t="s">
        <v>406</v>
      </c>
      <c r="E131" s="109" t="s">
        <v>407</v>
      </c>
      <c r="F131" s="17">
        <v>0</v>
      </c>
      <c r="G131" t="s">
        <v>574</v>
      </c>
      <c r="H131">
        <f t="shared" si="3"/>
        <v>2.4283174999999999</v>
      </c>
      <c r="I131" s="17">
        <f t="shared" si="4"/>
        <v>0</v>
      </c>
    </row>
    <row r="132" spans="1:9" x14ac:dyDescent="0.2">
      <c r="A132" s="109" t="s">
        <v>403</v>
      </c>
      <c r="B132" s="109" t="s">
        <v>467</v>
      </c>
      <c r="C132" s="109" t="s">
        <v>468</v>
      </c>
      <c r="D132" s="109" t="s">
        <v>469</v>
      </c>
      <c r="E132" s="109" t="s">
        <v>407</v>
      </c>
      <c r="F132" s="17">
        <v>10541</v>
      </c>
      <c r="G132" t="s">
        <v>574</v>
      </c>
      <c r="H132">
        <f t="shared" si="3"/>
        <v>2.4283174999999999</v>
      </c>
      <c r="I132" s="17">
        <f t="shared" si="4"/>
        <v>4.3408656405103541</v>
      </c>
    </row>
    <row r="133" spans="1:9" x14ac:dyDescent="0.2">
      <c r="A133" s="109" t="s">
        <v>403</v>
      </c>
      <c r="B133" s="109" t="s">
        <v>467</v>
      </c>
      <c r="C133" s="109" t="s">
        <v>468</v>
      </c>
      <c r="D133" s="109" t="s">
        <v>408</v>
      </c>
      <c r="E133" s="109" t="s">
        <v>407</v>
      </c>
      <c r="F133" s="17">
        <v>37342793</v>
      </c>
      <c r="G133" t="s">
        <v>574</v>
      </c>
      <c r="H133">
        <f t="shared" si="3"/>
        <v>2.4283174999999999</v>
      </c>
      <c r="I133" s="17">
        <f t="shared" si="4"/>
        <v>15378.052087505033</v>
      </c>
    </row>
    <row r="134" spans="1:9" x14ac:dyDescent="0.2">
      <c r="A134" s="109" t="s">
        <v>403</v>
      </c>
      <c r="B134" s="109" t="s">
        <v>467</v>
      </c>
      <c r="C134" s="109" t="s">
        <v>468</v>
      </c>
      <c r="D134" s="109" t="s">
        <v>409</v>
      </c>
      <c r="E134" s="109" t="s">
        <v>407</v>
      </c>
      <c r="F134" s="17">
        <v>9667715</v>
      </c>
      <c r="G134" t="s">
        <v>574</v>
      </c>
      <c r="H134">
        <f t="shared" si="3"/>
        <v>2.4283174999999999</v>
      </c>
      <c r="I134" s="17">
        <f t="shared" si="4"/>
        <v>3981.2400973101749</v>
      </c>
    </row>
    <row r="135" spans="1:9" x14ac:dyDescent="0.2">
      <c r="A135" s="109" t="s">
        <v>403</v>
      </c>
      <c r="B135" s="109" t="s">
        <v>467</v>
      </c>
      <c r="C135" s="109" t="s">
        <v>468</v>
      </c>
      <c r="D135" s="109" t="s">
        <v>410</v>
      </c>
      <c r="E135" s="109" t="s">
        <v>407</v>
      </c>
      <c r="F135" s="17">
        <v>1397548</v>
      </c>
      <c r="G135" t="s">
        <v>574</v>
      </c>
      <c r="H135">
        <f t="shared" si="3"/>
        <v>2.4283174999999999</v>
      </c>
      <c r="I135" s="17">
        <f t="shared" si="4"/>
        <v>575.52111698737917</v>
      </c>
    </row>
    <row r="136" spans="1:9" x14ac:dyDescent="0.2">
      <c r="A136" s="109" t="s">
        <v>403</v>
      </c>
      <c r="B136" s="109" t="s">
        <v>470</v>
      </c>
      <c r="C136" s="109" t="s">
        <v>471</v>
      </c>
      <c r="D136" s="109" t="s">
        <v>406</v>
      </c>
      <c r="E136" s="109" t="s">
        <v>407</v>
      </c>
      <c r="F136" s="17">
        <v>0</v>
      </c>
      <c r="G136" t="s">
        <v>573</v>
      </c>
      <c r="H136">
        <f t="shared" si="3"/>
        <v>2.4283174999999999</v>
      </c>
      <c r="I136" s="17">
        <f t="shared" si="4"/>
        <v>0</v>
      </c>
    </row>
    <row r="137" spans="1:9" x14ac:dyDescent="0.2">
      <c r="A137" s="109" t="s">
        <v>403</v>
      </c>
      <c r="B137" s="109" t="s">
        <v>470</v>
      </c>
      <c r="C137" s="109" t="s">
        <v>471</v>
      </c>
      <c r="D137" s="109" t="s">
        <v>424</v>
      </c>
      <c r="E137" s="109" t="s">
        <v>407</v>
      </c>
      <c r="F137" s="17">
        <v>5008423</v>
      </c>
      <c r="G137" t="s">
        <v>573</v>
      </c>
      <c r="H137">
        <f t="shared" si="3"/>
        <v>2.4283174999999999</v>
      </c>
      <c r="I137" s="17">
        <f t="shared" si="4"/>
        <v>2062.5074768847157</v>
      </c>
    </row>
    <row r="138" spans="1:9" x14ac:dyDescent="0.2">
      <c r="A138" s="109" t="s">
        <v>403</v>
      </c>
      <c r="B138" s="109" t="s">
        <v>470</v>
      </c>
      <c r="C138" s="109" t="s">
        <v>471</v>
      </c>
      <c r="D138" s="109" t="s">
        <v>410</v>
      </c>
      <c r="E138" s="109" t="s">
        <v>407</v>
      </c>
      <c r="F138" s="17">
        <v>1544178</v>
      </c>
      <c r="G138" t="s">
        <v>573</v>
      </c>
      <c r="H138">
        <f t="shared" si="3"/>
        <v>2.4283174999999999</v>
      </c>
      <c r="I138" s="17">
        <f t="shared" si="4"/>
        <v>635.90448942529144</v>
      </c>
    </row>
    <row r="139" spans="1:9" x14ac:dyDescent="0.2">
      <c r="A139" s="109" t="s">
        <v>403</v>
      </c>
      <c r="B139" s="109" t="s">
        <v>470</v>
      </c>
      <c r="C139" s="109" t="s">
        <v>471</v>
      </c>
      <c r="D139" s="109" t="s">
        <v>415</v>
      </c>
      <c r="E139" s="109" t="s">
        <v>407</v>
      </c>
      <c r="F139" s="17">
        <v>23595</v>
      </c>
      <c r="G139" t="s">
        <v>573</v>
      </c>
      <c r="H139">
        <f t="shared" si="3"/>
        <v>2.4283174999999999</v>
      </c>
      <c r="I139" s="17">
        <f t="shared" si="4"/>
        <v>9.7166041919971349</v>
      </c>
    </row>
    <row r="140" spans="1:9" x14ac:dyDescent="0.2">
      <c r="A140" s="109" t="s">
        <v>403</v>
      </c>
      <c r="B140" s="109" t="s">
        <v>472</v>
      </c>
      <c r="C140" s="109" t="s">
        <v>473</v>
      </c>
      <c r="D140" s="109" t="s">
        <v>406</v>
      </c>
      <c r="E140" s="109" t="s">
        <v>407</v>
      </c>
      <c r="F140" s="17">
        <v>0</v>
      </c>
      <c r="G140" t="s">
        <v>573</v>
      </c>
      <c r="H140">
        <f t="shared" si="3"/>
        <v>2.4283174999999999</v>
      </c>
      <c r="I140" s="17">
        <f t="shared" si="4"/>
        <v>0</v>
      </c>
    </row>
    <row r="141" spans="1:9" x14ac:dyDescent="0.2">
      <c r="A141" s="109" t="s">
        <v>403</v>
      </c>
      <c r="B141" s="109" t="s">
        <v>472</v>
      </c>
      <c r="C141" s="109" t="s">
        <v>473</v>
      </c>
      <c r="D141" s="109" t="s">
        <v>408</v>
      </c>
      <c r="E141" s="109" t="s">
        <v>407</v>
      </c>
      <c r="F141" s="17">
        <v>11394777</v>
      </c>
      <c r="G141" t="s">
        <v>573</v>
      </c>
      <c r="H141">
        <f t="shared" si="3"/>
        <v>2.4283174999999999</v>
      </c>
      <c r="I141" s="17">
        <f t="shared" si="4"/>
        <v>4692.4576378500751</v>
      </c>
    </row>
    <row r="142" spans="1:9" x14ac:dyDescent="0.2">
      <c r="A142" s="109" t="s">
        <v>403</v>
      </c>
      <c r="B142" s="109" t="s">
        <v>472</v>
      </c>
      <c r="C142" s="109" t="s">
        <v>473</v>
      </c>
      <c r="D142" s="109" t="s">
        <v>431</v>
      </c>
      <c r="E142" s="109" t="s">
        <v>407</v>
      </c>
      <c r="F142" s="17">
        <v>11438934</v>
      </c>
      <c r="G142" t="s">
        <v>573</v>
      </c>
      <c r="H142">
        <f t="shared" si="3"/>
        <v>2.4283174999999999</v>
      </c>
      <c r="I142" s="17">
        <f t="shared" si="4"/>
        <v>4710.6418332858038</v>
      </c>
    </row>
    <row r="143" spans="1:9" x14ac:dyDescent="0.2">
      <c r="A143" s="109" t="s">
        <v>403</v>
      </c>
      <c r="B143" s="109" t="s">
        <v>472</v>
      </c>
      <c r="C143" s="109" t="s">
        <v>473</v>
      </c>
      <c r="D143" s="109" t="s">
        <v>409</v>
      </c>
      <c r="E143" s="109" t="s">
        <v>407</v>
      </c>
      <c r="F143" s="17">
        <v>3511129</v>
      </c>
      <c r="G143" t="s">
        <v>573</v>
      </c>
      <c r="H143">
        <f t="shared" si="3"/>
        <v>2.4283174999999999</v>
      </c>
      <c r="I143" s="17">
        <f t="shared" si="4"/>
        <v>1445.9101826676292</v>
      </c>
    </row>
    <row r="144" spans="1:9" x14ac:dyDescent="0.2">
      <c r="A144" s="109" t="s">
        <v>403</v>
      </c>
      <c r="B144" s="109" t="s">
        <v>472</v>
      </c>
      <c r="C144" s="109" t="s">
        <v>473</v>
      </c>
      <c r="D144" s="109" t="s">
        <v>410</v>
      </c>
      <c r="E144" s="109" t="s">
        <v>407</v>
      </c>
      <c r="F144" s="17">
        <v>303771</v>
      </c>
      <c r="G144" t="s">
        <v>573</v>
      </c>
      <c r="H144">
        <f t="shared" si="3"/>
        <v>2.4283174999999999</v>
      </c>
      <c r="I144" s="17">
        <f t="shared" si="4"/>
        <v>125.09525628341434</v>
      </c>
    </row>
    <row r="145" spans="1:9" x14ac:dyDescent="0.2">
      <c r="A145" s="109" t="s">
        <v>403</v>
      </c>
      <c r="B145" s="109" t="s">
        <v>474</v>
      </c>
      <c r="C145" s="109" t="s">
        <v>475</v>
      </c>
      <c r="D145" s="109" t="s">
        <v>408</v>
      </c>
      <c r="E145" s="109" t="s">
        <v>407</v>
      </c>
      <c r="F145" s="17">
        <v>43068853</v>
      </c>
      <c r="G145" t="s">
        <v>574</v>
      </c>
      <c r="H145">
        <f t="shared" si="3"/>
        <v>2.4283174999999999</v>
      </c>
      <c r="I145" s="17">
        <f t="shared" si="4"/>
        <v>17736.088052736104</v>
      </c>
    </row>
    <row r="146" spans="1:9" x14ac:dyDescent="0.2">
      <c r="A146" s="109" t="s">
        <v>403</v>
      </c>
      <c r="B146" s="109" t="s">
        <v>474</v>
      </c>
      <c r="C146" s="109" t="s">
        <v>475</v>
      </c>
      <c r="D146" s="109" t="s">
        <v>431</v>
      </c>
      <c r="E146" s="109" t="s">
        <v>407</v>
      </c>
      <c r="F146" s="17">
        <v>4291789</v>
      </c>
      <c r="G146" t="s">
        <v>574</v>
      </c>
      <c r="H146">
        <f t="shared" si="3"/>
        <v>2.4283174999999999</v>
      </c>
      <c r="I146" s="17">
        <f t="shared" si="4"/>
        <v>1767.3920317256702</v>
      </c>
    </row>
    <row r="147" spans="1:9" x14ac:dyDescent="0.2">
      <c r="A147" s="109" t="s">
        <v>403</v>
      </c>
      <c r="B147" s="109" t="s">
        <v>474</v>
      </c>
      <c r="C147" s="109" t="s">
        <v>475</v>
      </c>
      <c r="D147" s="109" t="s">
        <v>409</v>
      </c>
      <c r="E147" s="109" t="s">
        <v>407</v>
      </c>
      <c r="F147" s="17">
        <v>5328873</v>
      </c>
      <c r="G147" t="s">
        <v>574</v>
      </c>
      <c r="H147">
        <f t="shared" si="3"/>
        <v>2.4283174999999999</v>
      </c>
      <c r="I147" s="17">
        <f t="shared" si="4"/>
        <v>2194.4712748641809</v>
      </c>
    </row>
    <row r="148" spans="1:9" x14ac:dyDescent="0.2">
      <c r="A148" s="109" t="s">
        <v>403</v>
      </c>
      <c r="B148" s="109" t="s">
        <v>474</v>
      </c>
      <c r="C148" s="109" t="s">
        <v>475</v>
      </c>
      <c r="D148" s="109" t="s">
        <v>410</v>
      </c>
      <c r="E148" s="109" t="s">
        <v>407</v>
      </c>
      <c r="F148" s="17">
        <v>15943</v>
      </c>
      <c r="G148" t="s">
        <v>574</v>
      </c>
      <c r="H148">
        <f t="shared" si="3"/>
        <v>2.4283174999999999</v>
      </c>
      <c r="I148" s="17">
        <f t="shared" si="4"/>
        <v>6.565451181733855</v>
      </c>
    </row>
    <row r="149" spans="1:9" x14ac:dyDescent="0.2">
      <c r="A149" s="109" t="s">
        <v>403</v>
      </c>
      <c r="B149" s="109" t="s">
        <v>476</v>
      </c>
      <c r="C149" s="109" t="s">
        <v>477</v>
      </c>
      <c r="D149" s="109" t="s">
        <v>409</v>
      </c>
      <c r="E149" s="109" t="s">
        <v>407</v>
      </c>
      <c r="F149" s="17">
        <v>38072269</v>
      </c>
      <c r="G149" t="s">
        <v>574</v>
      </c>
      <c r="H149">
        <f t="shared" si="3"/>
        <v>2.4283174999999999</v>
      </c>
      <c r="I149" s="17">
        <f t="shared" si="4"/>
        <v>15678.455967969592</v>
      </c>
    </row>
    <row r="150" spans="1:9" x14ac:dyDescent="0.2">
      <c r="A150" s="109" t="s">
        <v>403</v>
      </c>
      <c r="B150" s="109" t="s">
        <v>476</v>
      </c>
      <c r="C150" s="109" t="s">
        <v>477</v>
      </c>
      <c r="D150" s="109" t="s">
        <v>410</v>
      </c>
      <c r="E150" s="109" t="s">
        <v>407</v>
      </c>
      <c r="F150" s="17">
        <v>219761</v>
      </c>
      <c r="G150" t="s">
        <v>574</v>
      </c>
      <c r="H150">
        <f t="shared" si="3"/>
        <v>2.4283174999999999</v>
      </c>
      <c r="I150" s="17">
        <f t="shared" si="4"/>
        <v>90.499286028289134</v>
      </c>
    </row>
    <row r="151" spans="1:9" x14ac:dyDescent="0.2">
      <c r="A151" s="109" t="s">
        <v>403</v>
      </c>
      <c r="B151" s="109" t="s">
        <v>478</v>
      </c>
      <c r="C151" s="109" t="s">
        <v>479</v>
      </c>
      <c r="D151" s="109" t="s">
        <v>408</v>
      </c>
      <c r="E151" s="109" t="s">
        <v>407</v>
      </c>
      <c r="F151" s="17">
        <v>22128944</v>
      </c>
      <c r="G151" t="s">
        <v>574</v>
      </c>
      <c r="H151">
        <f t="shared" ref="H151:H214" si="5">INDEX($B$366:$B$379,MATCH($G151,$A$366:$A$379,0),1)</f>
        <v>2.4283174999999999</v>
      </c>
      <c r="I151" s="17">
        <f t="shared" ref="I151:I214" si="6">F151/H151*10^-3</f>
        <v>9112.8709487124324</v>
      </c>
    </row>
    <row r="152" spans="1:9" x14ac:dyDescent="0.2">
      <c r="A152" s="109" t="s">
        <v>403</v>
      </c>
      <c r="B152" s="109" t="s">
        <v>478</v>
      </c>
      <c r="C152" s="109" t="s">
        <v>479</v>
      </c>
      <c r="D152" s="109" t="s">
        <v>409</v>
      </c>
      <c r="E152" s="109" t="s">
        <v>407</v>
      </c>
      <c r="F152" s="17">
        <v>44178322</v>
      </c>
      <c r="G152" t="s">
        <v>574</v>
      </c>
      <c r="H152">
        <f t="shared" si="5"/>
        <v>2.4283174999999999</v>
      </c>
      <c r="I152" s="17">
        <f t="shared" si="6"/>
        <v>18192.976000873034</v>
      </c>
    </row>
    <row r="153" spans="1:9" x14ac:dyDescent="0.2">
      <c r="A153" s="109" t="s">
        <v>403</v>
      </c>
      <c r="B153" s="109" t="s">
        <v>478</v>
      </c>
      <c r="C153" s="109" t="s">
        <v>479</v>
      </c>
      <c r="D153" s="109" t="s">
        <v>410</v>
      </c>
      <c r="E153" s="109" t="s">
        <v>407</v>
      </c>
      <c r="F153" s="17">
        <v>4807873</v>
      </c>
      <c r="G153" t="s">
        <v>574</v>
      </c>
      <c r="H153">
        <f t="shared" si="5"/>
        <v>2.4283174999999999</v>
      </c>
      <c r="I153" s="17">
        <f t="shared" si="6"/>
        <v>1979.9194298109701</v>
      </c>
    </row>
    <row r="154" spans="1:9" x14ac:dyDescent="0.2">
      <c r="A154" s="109" t="s">
        <v>403</v>
      </c>
      <c r="B154" s="109" t="s">
        <v>478</v>
      </c>
      <c r="C154" s="109" t="s">
        <v>479</v>
      </c>
      <c r="D154" s="109" t="s">
        <v>415</v>
      </c>
      <c r="E154" s="109" t="s">
        <v>407</v>
      </c>
      <c r="F154" s="17">
        <v>153123</v>
      </c>
      <c r="G154" t="s">
        <v>574</v>
      </c>
      <c r="H154">
        <f t="shared" si="5"/>
        <v>2.4283174999999999</v>
      </c>
      <c r="I154" s="17">
        <f t="shared" si="6"/>
        <v>63.057240249679055</v>
      </c>
    </row>
    <row r="155" spans="1:9" x14ac:dyDescent="0.2">
      <c r="A155" s="109" t="s">
        <v>403</v>
      </c>
      <c r="B155" s="109" t="s">
        <v>480</v>
      </c>
      <c r="C155" s="109" t="s">
        <v>481</v>
      </c>
      <c r="D155" s="109" t="s">
        <v>406</v>
      </c>
      <c r="E155" s="109" t="s">
        <v>407</v>
      </c>
      <c r="F155" s="17">
        <v>0</v>
      </c>
      <c r="G155" t="s">
        <v>574</v>
      </c>
      <c r="H155">
        <f t="shared" si="5"/>
        <v>2.4283174999999999</v>
      </c>
      <c r="I155" s="17">
        <f t="shared" si="6"/>
        <v>0</v>
      </c>
    </row>
    <row r="156" spans="1:9" x14ac:dyDescent="0.2">
      <c r="A156" s="109" t="s">
        <v>403</v>
      </c>
      <c r="B156" s="109" t="s">
        <v>480</v>
      </c>
      <c r="C156" s="109" t="s">
        <v>481</v>
      </c>
      <c r="D156" s="109" t="s">
        <v>408</v>
      </c>
      <c r="E156" s="109" t="s">
        <v>407</v>
      </c>
      <c r="F156" s="17">
        <v>2089536</v>
      </c>
      <c r="G156" t="s">
        <v>574</v>
      </c>
      <c r="H156">
        <f t="shared" si="5"/>
        <v>2.4283174999999999</v>
      </c>
      <c r="I156" s="17">
        <f t="shared" si="6"/>
        <v>860.48714799444474</v>
      </c>
    </row>
    <row r="157" spans="1:9" x14ac:dyDescent="0.2">
      <c r="A157" s="109" t="s">
        <v>403</v>
      </c>
      <c r="B157" s="109" t="s">
        <v>480</v>
      </c>
      <c r="C157" s="109" t="s">
        <v>481</v>
      </c>
      <c r="D157" s="109" t="s">
        <v>409</v>
      </c>
      <c r="E157" s="109" t="s">
        <v>407</v>
      </c>
      <c r="F157" s="17">
        <v>95599100</v>
      </c>
      <c r="G157" t="s">
        <v>574</v>
      </c>
      <c r="H157">
        <f t="shared" si="5"/>
        <v>2.4283174999999999</v>
      </c>
      <c r="I157" s="17">
        <f t="shared" si="6"/>
        <v>39368.451613102487</v>
      </c>
    </row>
    <row r="158" spans="1:9" x14ac:dyDescent="0.2">
      <c r="A158" s="109" t="s">
        <v>403</v>
      </c>
      <c r="B158" s="109" t="s">
        <v>480</v>
      </c>
      <c r="C158" s="109" t="s">
        <v>481</v>
      </c>
      <c r="D158" s="109" t="s">
        <v>410</v>
      </c>
      <c r="E158" s="109" t="s">
        <v>407</v>
      </c>
      <c r="F158" s="17">
        <v>2826572</v>
      </c>
      <c r="G158" t="s">
        <v>574</v>
      </c>
      <c r="H158">
        <f t="shared" si="5"/>
        <v>2.4283174999999999</v>
      </c>
      <c r="I158" s="17">
        <f t="shared" si="6"/>
        <v>1164.0042951549788</v>
      </c>
    </row>
    <row r="159" spans="1:9" x14ac:dyDescent="0.2">
      <c r="A159" s="109" t="s">
        <v>403</v>
      </c>
      <c r="B159" s="109" t="s">
        <v>480</v>
      </c>
      <c r="C159" s="109" t="s">
        <v>481</v>
      </c>
      <c r="D159" s="109" t="s">
        <v>415</v>
      </c>
      <c r="E159" s="109" t="s">
        <v>407</v>
      </c>
      <c r="F159" s="17">
        <v>17000</v>
      </c>
      <c r="G159" t="s">
        <v>574</v>
      </c>
      <c r="H159">
        <f t="shared" si="5"/>
        <v>2.4283174999999999</v>
      </c>
      <c r="I159" s="17">
        <f t="shared" si="6"/>
        <v>7.0007319883005419</v>
      </c>
    </row>
    <row r="160" spans="1:9" x14ac:dyDescent="0.2">
      <c r="A160" s="109" t="s">
        <v>403</v>
      </c>
      <c r="B160" s="109" t="s">
        <v>482</v>
      </c>
      <c r="C160" s="109" t="s">
        <v>483</v>
      </c>
      <c r="D160" s="109" t="s">
        <v>424</v>
      </c>
      <c r="E160" s="109" t="s">
        <v>407</v>
      </c>
      <c r="F160" s="17">
        <v>170389740</v>
      </c>
      <c r="G160" t="s">
        <v>574</v>
      </c>
      <c r="H160">
        <f t="shared" si="5"/>
        <v>2.4283174999999999</v>
      </c>
      <c r="I160" s="17">
        <f t="shared" si="6"/>
        <v>70167.817840953663</v>
      </c>
    </row>
    <row r="161" spans="1:9" x14ac:dyDescent="0.2">
      <c r="A161" s="109" t="s">
        <v>403</v>
      </c>
      <c r="B161" s="109" t="s">
        <v>482</v>
      </c>
      <c r="C161" s="109" t="s">
        <v>483</v>
      </c>
      <c r="D161" s="109" t="s">
        <v>410</v>
      </c>
      <c r="E161" s="109" t="s">
        <v>407</v>
      </c>
      <c r="F161" s="17">
        <v>12975002</v>
      </c>
      <c r="G161" t="s">
        <v>574</v>
      </c>
      <c r="H161">
        <f t="shared" si="5"/>
        <v>2.4283174999999999</v>
      </c>
      <c r="I161" s="17">
        <f t="shared" si="6"/>
        <v>5343.2065617449125</v>
      </c>
    </row>
    <row r="162" spans="1:9" x14ac:dyDescent="0.2">
      <c r="A162" s="109" t="s">
        <v>403</v>
      </c>
      <c r="B162" s="109" t="s">
        <v>482</v>
      </c>
      <c r="C162" s="109" t="s">
        <v>483</v>
      </c>
      <c r="D162" s="109" t="s">
        <v>415</v>
      </c>
      <c r="E162" s="109" t="s">
        <v>407</v>
      </c>
      <c r="F162" s="17">
        <v>50639</v>
      </c>
      <c r="G162" t="s">
        <v>574</v>
      </c>
      <c r="H162">
        <f t="shared" si="5"/>
        <v>2.4283174999999999</v>
      </c>
      <c r="I162" s="17">
        <f t="shared" si="6"/>
        <v>20.853533362091245</v>
      </c>
    </row>
    <row r="163" spans="1:9" x14ac:dyDescent="0.2">
      <c r="A163" s="109" t="s">
        <v>403</v>
      </c>
      <c r="B163" s="109" t="s">
        <v>484</v>
      </c>
      <c r="C163" s="109" t="s">
        <v>485</v>
      </c>
      <c r="D163" s="109" t="s">
        <v>406</v>
      </c>
      <c r="E163" s="109" t="s">
        <v>407</v>
      </c>
      <c r="F163" s="17">
        <v>0</v>
      </c>
      <c r="G163" t="s">
        <v>574</v>
      </c>
      <c r="H163">
        <f t="shared" si="5"/>
        <v>2.4283174999999999</v>
      </c>
      <c r="I163" s="17">
        <f t="shared" si="6"/>
        <v>0</v>
      </c>
    </row>
    <row r="164" spans="1:9" x14ac:dyDescent="0.2">
      <c r="A164" s="109" t="s">
        <v>403</v>
      </c>
      <c r="B164" s="109" t="s">
        <v>484</v>
      </c>
      <c r="C164" s="109" t="s">
        <v>485</v>
      </c>
      <c r="D164" s="109" t="s">
        <v>408</v>
      </c>
      <c r="E164" s="109" t="s">
        <v>407</v>
      </c>
      <c r="F164" s="17">
        <v>1264003</v>
      </c>
      <c r="G164" t="s">
        <v>574</v>
      </c>
      <c r="H164">
        <f t="shared" si="5"/>
        <v>2.4283174999999999</v>
      </c>
      <c r="I164" s="17">
        <f t="shared" si="6"/>
        <v>520.52624914163823</v>
      </c>
    </row>
    <row r="165" spans="1:9" x14ac:dyDescent="0.2">
      <c r="A165" s="109" t="s">
        <v>403</v>
      </c>
      <c r="B165" s="109" t="s">
        <v>484</v>
      </c>
      <c r="C165" s="109" t="s">
        <v>485</v>
      </c>
      <c r="D165" s="109" t="s">
        <v>431</v>
      </c>
      <c r="E165" s="109" t="s">
        <v>407</v>
      </c>
      <c r="F165" s="17">
        <v>8741116</v>
      </c>
      <c r="G165" t="s">
        <v>574</v>
      </c>
      <c r="H165">
        <f t="shared" si="5"/>
        <v>2.4283174999999999</v>
      </c>
      <c r="I165" s="17">
        <f t="shared" si="6"/>
        <v>3599.6594349791576</v>
      </c>
    </row>
    <row r="166" spans="1:9" x14ac:dyDescent="0.2">
      <c r="A166" s="109" t="s">
        <v>403</v>
      </c>
      <c r="B166" s="109" t="s">
        <v>484</v>
      </c>
      <c r="C166" s="109" t="s">
        <v>485</v>
      </c>
      <c r="D166" s="109" t="s">
        <v>409</v>
      </c>
      <c r="E166" s="109" t="s">
        <v>407</v>
      </c>
      <c r="F166" s="17">
        <v>189049236</v>
      </c>
      <c r="G166" t="s">
        <v>574</v>
      </c>
      <c r="H166">
        <f t="shared" si="5"/>
        <v>2.4283174999999999</v>
      </c>
      <c r="I166" s="17">
        <f t="shared" si="6"/>
        <v>77851.943166410492</v>
      </c>
    </row>
    <row r="167" spans="1:9" x14ac:dyDescent="0.2">
      <c r="A167" s="109" t="s">
        <v>403</v>
      </c>
      <c r="B167" s="109" t="s">
        <v>484</v>
      </c>
      <c r="C167" s="109" t="s">
        <v>485</v>
      </c>
      <c r="D167" s="109" t="s">
        <v>410</v>
      </c>
      <c r="E167" s="109" t="s">
        <v>407</v>
      </c>
      <c r="F167" s="17">
        <v>27229731</v>
      </c>
      <c r="G167" t="s">
        <v>574</v>
      </c>
      <c r="H167">
        <f t="shared" si="5"/>
        <v>2.4283174999999999</v>
      </c>
      <c r="I167" s="17">
        <f t="shared" si="6"/>
        <v>11213.414637912878</v>
      </c>
    </row>
    <row r="168" spans="1:9" x14ac:dyDescent="0.2">
      <c r="A168" s="109" t="s">
        <v>403</v>
      </c>
      <c r="B168" s="109" t="s">
        <v>484</v>
      </c>
      <c r="C168" s="109" t="s">
        <v>485</v>
      </c>
      <c r="D168" s="109" t="s">
        <v>415</v>
      </c>
      <c r="E168" s="109" t="s">
        <v>407</v>
      </c>
      <c r="F168" s="17">
        <v>5243281</v>
      </c>
      <c r="G168" t="s">
        <v>574</v>
      </c>
      <c r="H168">
        <f t="shared" si="5"/>
        <v>2.4283174999999999</v>
      </c>
      <c r="I168" s="17">
        <f t="shared" si="6"/>
        <v>2159.2238247263795</v>
      </c>
    </row>
    <row r="169" spans="1:9" x14ac:dyDescent="0.2">
      <c r="A169" s="109" t="s">
        <v>403</v>
      </c>
      <c r="B169" s="109" t="s">
        <v>486</v>
      </c>
      <c r="C169" s="109" t="s">
        <v>487</v>
      </c>
      <c r="D169" s="109" t="s">
        <v>424</v>
      </c>
      <c r="E169" s="109" t="s">
        <v>407</v>
      </c>
      <c r="F169" s="17">
        <v>1829178</v>
      </c>
      <c r="G169" t="s">
        <v>574</v>
      </c>
      <c r="H169">
        <f t="shared" si="5"/>
        <v>2.4283174999999999</v>
      </c>
      <c r="I169" s="17">
        <f t="shared" si="6"/>
        <v>753.26970217032988</v>
      </c>
    </row>
    <row r="170" spans="1:9" x14ac:dyDescent="0.2">
      <c r="A170" s="109" t="s">
        <v>403</v>
      </c>
      <c r="B170" s="109" t="s">
        <v>486</v>
      </c>
      <c r="C170" s="109" t="s">
        <v>487</v>
      </c>
      <c r="D170" s="109" t="s">
        <v>410</v>
      </c>
      <c r="E170" s="109" t="s">
        <v>407</v>
      </c>
      <c r="F170" s="17">
        <v>2824</v>
      </c>
      <c r="G170" t="s">
        <v>574</v>
      </c>
      <c r="H170">
        <f t="shared" si="5"/>
        <v>2.4283174999999999</v>
      </c>
      <c r="I170" s="17">
        <f t="shared" si="6"/>
        <v>1.1629451255859253</v>
      </c>
    </row>
    <row r="171" spans="1:9" x14ac:dyDescent="0.2">
      <c r="A171" s="109" t="s">
        <v>403</v>
      </c>
      <c r="B171" s="109" t="s">
        <v>488</v>
      </c>
      <c r="C171" s="109" t="s">
        <v>489</v>
      </c>
      <c r="D171" s="109" t="s">
        <v>408</v>
      </c>
      <c r="E171" s="109" t="s">
        <v>407</v>
      </c>
      <c r="F171" s="17">
        <v>2552984</v>
      </c>
      <c r="G171" t="s">
        <v>574</v>
      </c>
      <c r="H171">
        <f t="shared" si="5"/>
        <v>2.4283174999999999</v>
      </c>
      <c r="I171" s="17">
        <f t="shared" si="6"/>
        <v>1051.33863261291</v>
      </c>
    </row>
    <row r="172" spans="1:9" x14ac:dyDescent="0.2">
      <c r="A172" s="109" t="s">
        <v>403</v>
      </c>
      <c r="B172" s="109" t="s">
        <v>488</v>
      </c>
      <c r="C172" s="109" t="s">
        <v>489</v>
      </c>
      <c r="D172" s="109" t="s">
        <v>409</v>
      </c>
      <c r="E172" s="109" t="s">
        <v>407</v>
      </c>
      <c r="F172" s="17">
        <v>12709932</v>
      </c>
      <c r="G172" t="s">
        <v>574</v>
      </c>
      <c r="H172">
        <f t="shared" si="5"/>
        <v>2.4283174999999999</v>
      </c>
      <c r="I172" s="17">
        <f t="shared" si="6"/>
        <v>5234.048677736746</v>
      </c>
    </row>
    <row r="173" spans="1:9" x14ac:dyDescent="0.2">
      <c r="A173" s="109" t="s">
        <v>403</v>
      </c>
      <c r="B173" s="109" t="s">
        <v>488</v>
      </c>
      <c r="C173" s="109" t="s">
        <v>489</v>
      </c>
      <c r="D173" s="109" t="s">
        <v>410</v>
      </c>
      <c r="E173" s="109" t="s">
        <v>407</v>
      </c>
      <c r="F173" s="17">
        <v>85569</v>
      </c>
      <c r="G173" t="s">
        <v>574</v>
      </c>
      <c r="H173">
        <f t="shared" si="5"/>
        <v>2.4283174999999999</v>
      </c>
      <c r="I173" s="17">
        <f t="shared" si="6"/>
        <v>35.237978559228765</v>
      </c>
    </row>
    <row r="174" spans="1:9" x14ac:dyDescent="0.2">
      <c r="A174" s="109" t="s">
        <v>403</v>
      </c>
      <c r="B174" s="109" t="s">
        <v>490</v>
      </c>
      <c r="C174" s="109" t="s">
        <v>491</v>
      </c>
      <c r="D174" s="109" t="s">
        <v>408</v>
      </c>
      <c r="E174" s="109" t="s">
        <v>407</v>
      </c>
      <c r="F174" s="17">
        <v>14426411</v>
      </c>
      <c r="G174" t="s">
        <v>574</v>
      </c>
      <c r="H174">
        <f t="shared" si="5"/>
        <v>2.4283174999999999</v>
      </c>
      <c r="I174" s="17">
        <f t="shared" si="6"/>
        <v>5940.9080567100482</v>
      </c>
    </row>
    <row r="175" spans="1:9" x14ac:dyDescent="0.2">
      <c r="A175" s="109" t="s">
        <v>403</v>
      </c>
      <c r="B175" s="109" t="s">
        <v>490</v>
      </c>
      <c r="C175" s="109" t="s">
        <v>491</v>
      </c>
      <c r="D175" s="109" t="s">
        <v>409</v>
      </c>
      <c r="E175" s="109" t="s">
        <v>407</v>
      </c>
      <c r="F175" s="17">
        <v>872432</v>
      </c>
      <c r="G175" t="s">
        <v>574</v>
      </c>
      <c r="H175">
        <f t="shared" si="5"/>
        <v>2.4283174999999999</v>
      </c>
      <c r="I175" s="17">
        <f t="shared" si="6"/>
        <v>359.27427117747169</v>
      </c>
    </row>
    <row r="176" spans="1:9" x14ac:dyDescent="0.2">
      <c r="A176" s="109" t="s">
        <v>403</v>
      </c>
      <c r="B176" s="109" t="s">
        <v>490</v>
      </c>
      <c r="C176" s="109" t="s">
        <v>491</v>
      </c>
      <c r="D176" s="109" t="s">
        <v>410</v>
      </c>
      <c r="E176" s="109" t="s">
        <v>407</v>
      </c>
      <c r="F176" s="17">
        <v>291000</v>
      </c>
      <c r="G176" t="s">
        <v>574</v>
      </c>
      <c r="H176">
        <f t="shared" si="5"/>
        <v>2.4283174999999999</v>
      </c>
      <c r="I176" s="17">
        <f t="shared" si="6"/>
        <v>119.83605932914458</v>
      </c>
    </row>
    <row r="177" spans="1:9" x14ac:dyDescent="0.2">
      <c r="A177" s="109" t="s">
        <v>403</v>
      </c>
      <c r="B177" s="109" t="s">
        <v>492</v>
      </c>
      <c r="C177" s="109" t="s">
        <v>493</v>
      </c>
      <c r="D177" s="109" t="s">
        <v>408</v>
      </c>
      <c r="E177" s="109" t="s">
        <v>407</v>
      </c>
      <c r="F177" s="17">
        <v>172931</v>
      </c>
      <c r="G177" t="s">
        <v>574</v>
      </c>
      <c r="H177">
        <f t="shared" si="5"/>
        <v>2.4283174999999999</v>
      </c>
      <c r="I177" s="17">
        <f t="shared" si="6"/>
        <v>71.21432843934123</v>
      </c>
    </row>
    <row r="178" spans="1:9" x14ac:dyDescent="0.2">
      <c r="A178" s="109" t="s">
        <v>403</v>
      </c>
      <c r="B178" s="109" t="s">
        <v>492</v>
      </c>
      <c r="C178" s="109" t="s">
        <v>493</v>
      </c>
      <c r="D178" s="109" t="s">
        <v>431</v>
      </c>
      <c r="E178" s="109" t="s">
        <v>407</v>
      </c>
      <c r="F178" s="17">
        <v>20044905</v>
      </c>
      <c r="G178" t="s">
        <v>574</v>
      </c>
      <c r="H178">
        <f t="shared" si="5"/>
        <v>2.4283174999999999</v>
      </c>
      <c r="I178" s="17">
        <f t="shared" si="6"/>
        <v>8254.6475079967913</v>
      </c>
    </row>
    <row r="179" spans="1:9" x14ac:dyDescent="0.2">
      <c r="A179" s="109" t="s">
        <v>403</v>
      </c>
      <c r="B179" s="109" t="s">
        <v>492</v>
      </c>
      <c r="C179" s="109" t="s">
        <v>493</v>
      </c>
      <c r="D179" s="109" t="s">
        <v>409</v>
      </c>
      <c r="E179" s="109" t="s">
        <v>407</v>
      </c>
      <c r="F179" s="17">
        <v>5078574</v>
      </c>
      <c r="G179" t="s">
        <v>574</v>
      </c>
      <c r="H179">
        <f t="shared" si="5"/>
        <v>2.4283174999999999</v>
      </c>
      <c r="I179" s="17">
        <f t="shared" si="6"/>
        <v>2091.3962033383195</v>
      </c>
    </row>
    <row r="180" spans="1:9" x14ac:dyDescent="0.2">
      <c r="A180" s="109" t="s">
        <v>403</v>
      </c>
      <c r="B180" s="109" t="s">
        <v>492</v>
      </c>
      <c r="C180" s="109" t="s">
        <v>493</v>
      </c>
      <c r="D180" s="109" t="s">
        <v>410</v>
      </c>
      <c r="E180" s="109" t="s">
        <v>407</v>
      </c>
      <c r="F180" s="17">
        <v>15194</v>
      </c>
      <c r="G180" t="s">
        <v>574</v>
      </c>
      <c r="H180">
        <f t="shared" si="5"/>
        <v>2.4283174999999999</v>
      </c>
      <c r="I180" s="17">
        <f t="shared" si="6"/>
        <v>6.2570071664846134</v>
      </c>
    </row>
    <row r="181" spans="1:9" x14ac:dyDescent="0.2">
      <c r="A181" s="109" t="s">
        <v>403</v>
      </c>
      <c r="B181" s="109" t="s">
        <v>494</v>
      </c>
      <c r="C181" s="109" t="s">
        <v>495</v>
      </c>
      <c r="D181" s="109" t="s">
        <v>408</v>
      </c>
      <c r="E181" s="109" t="s">
        <v>407</v>
      </c>
      <c r="F181" s="17">
        <v>24889244</v>
      </c>
      <c r="G181" t="s">
        <v>573</v>
      </c>
      <c r="H181">
        <f t="shared" si="5"/>
        <v>2.4283174999999999</v>
      </c>
      <c r="I181" s="17">
        <f t="shared" si="6"/>
        <v>10249.58391973043</v>
      </c>
    </row>
    <row r="182" spans="1:9" x14ac:dyDescent="0.2">
      <c r="A182" s="109" t="s">
        <v>403</v>
      </c>
      <c r="B182" s="109" t="s">
        <v>494</v>
      </c>
      <c r="C182" s="109" t="s">
        <v>495</v>
      </c>
      <c r="D182" s="109" t="s">
        <v>409</v>
      </c>
      <c r="E182" s="109" t="s">
        <v>407</v>
      </c>
      <c r="F182" s="17">
        <v>4006678</v>
      </c>
      <c r="G182" t="s">
        <v>573</v>
      </c>
      <c r="H182">
        <f t="shared" si="5"/>
        <v>2.4283174999999999</v>
      </c>
      <c r="I182" s="17">
        <f t="shared" si="6"/>
        <v>1649.9811083188258</v>
      </c>
    </row>
    <row r="183" spans="1:9" x14ac:dyDescent="0.2">
      <c r="A183" s="109" t="s">
        <v>403</v>
      </c>
      <c r="B183" s="109" t="s">
        <v>494</v>
      </c>
      <c r="C183" s="109" t="s">
        <v>495</v>
      </c>
      <c r="D183" s="109" t="s">
        <v>410</v>
      </c>
      <c r="E183" s="109" t="s">
        <v>407</v>
      </c>
      <c r="F183" s="17">
        <v>1552</v>
      </c>
      <c r="G183" t="s">
        <v>573</v>
      </c>
      <c r="H183">
        <f t="shared" si="5"/>
        <v>2.4283174999999999</v>
      </c>
      <c r="I183" s="17">
        <f t="shared" si="6"/>
        <v>0.63912564975543773</v>
      </c>
    </row>
    <row r="184" spans="1:9" x14ac:dyDescent="0.2">
      <c r="A184" s="109" t="s">
        <v>403</v>
      </c>
      <c r="B184" s="109" t="s">
        <v>496</v>
      </c>
      <c r="C184" s="109" t="s">
        <v>497</v>
      </c>
      <c r="D184" s="109" t="s">
        <v>408</v>
      </c>
      <c r="E184" s="109" t="s">
        <v>407</v>
      </c>
      <c r="F184" s="17">
        <v>12972469</v>
      </c>
      <c r="G184" t="s">
        <v>573</v>
      </c>
      <c r="H184">
        <f t="shared" si="5"/>
        <v>2.4283174999999999</v>
      </c>
      <c r="I184" s="17">
        <f t="shared" si="6"/>
        <v>5342.1634526786556</v>
      </c>
    </row>
    <row r="185" spans="1:9" x14ac:dyDescent="0.2">
      <c r="A185" s="109" t="s">
        <v>403</v>
      </c>
      <c r="B185" s="109" t="s">
        <v>496</v>
      </c>
      <c r="C185" s="109" t="s">
        <v>497</v>
      </c>
      <c r="D185" s="109" t="s">
        <v>431</v>
      </c>
      <c r="E185" s="109" t="s">
        <v>407</v>
      </c>
      <c r="F185" s="17">
        <v>4636494</v>
      </c>
      <c r="G185" t="s">
        <v>573</v>
      </c>
      <c r="H185">
        <f t="shared" si="5"/>
        <v>2.4283174999999999</v>
      </c>
      <c r="I185" s="17">
        <f t="shared" si="6"/>
        <v>1909.3442270213843</v>
      </c>
    </row>
    <row r="186" spans="1:9" x14ac:dyDescent="0.2">
      <c r="A186" s="109" t="s">
        <v>403</v>
      </c>
      <c r="B186" s="109" t="s">
        <v>496</v>
      </c>
      <c r="C186" s="109" t="s">
        <v>497</v>
      </c>
      <c r="D186" s="109" t="s">
        <v>409</v>
      </c>
      <c r="E186" s="109" t="s">
        <v>407</v>
      </c>
      <c r="F186" s="17">
        <v>36663113</v>
      </c>
      <c r="G186" t="s">
        <v>573</v>
      </c>
      <c r="H186">
        <f t="shared" si="5"/>
        <v>2.4283174999999999</v>
      </c>
      <c r="I186" s="17">
        <f t="shared" si="6"/>
        <v>15098.154586457496</v>
      </c>
    </row>
    <row r="187" spans="1:9" x14ac:dyDescent="0.2">
      <c r="A187" s="109" t="s">
        <v>403</v>
      </c>
      <c r="B187" s="109" t="s">
        <v>496</v>
      </c>
      <c r="C187" s="109" t="s">
        <v>497</v>
      </c>
      <c r="D187" s="109" t="s">
        <v>410</v>
      </c>
      <c r="E187" s="109" t="s">
        <v>407</v>
      </c>
      <c r="F187" s="17">
        <v>287306</v>
      </c>
      <c r="G187" t="s">
        <v>573</v>
      </c>
      <c r="H187">
        <f t="shared" si="5"/>
        <v>2.4283174999999999</v>
      </c>
      <c r="I187" s="17">
        <f t="shared" si="6"/>
        <v>118.31484144886326</v>
      </c>
    </row>
    <row r="188" spans="1:9" x14ac:dyDescent="0.2">
      <c r="A188" s="109" t="s">
        <v>403</v>
      </c>
      <c r="B188" s="109" t="s">
        <v>496</v>
      </c>
      <c r="C188" s="109" t="s">
        <v>497</v>
      </c>
      <c r="D188" s="109" t="s">
        <v>415</v>
      </c>
      <c r="E188" s="109" t="s">
        <v>407</v>
      </c>
      <c r="F188" s="17">
        <v>449523</v>
      </c>
      <c r="G188" t="s">
        <v>573</v>
      </c>
      <c r="H188">
        <f t="shared" si="5"/>
        <v>2.4283174999999999</v>
      </c>
      <c r="I188" s="17">
        <f t="shared" si="6"/>
        <v>185.11706150451909</v>
      </c>
    </row>
    <row r="189" spans="1:9" x14ac:dyDescent="0.2">
      <c r="A189" s="109" t="s">
        <v>403</v>
      </c>
      <c r="B189" s="109" t="s">
        <v>498</v>
      </c>
      <c r="C189" s="109" t="s">
        <v>499</v>
      </c>
      <c r="D189" s="109" t="s">
        <v>406</v>
      </c>
      <c r="E189" s="109" t="s">
        <v>407</v>
      </c>
      <c r="F189" s="17">
        <v>0</v>
      </c>
      <c r="G189" t="s">
        <v>574</v>
      </c>
      <c r="H189">
        <f t="shared" si="5"/>
        <v>2.4283174999999999</v>
      </c>
      <c r="I189" s="17">
        <f t="shared" si="6"/>
        <v>0</v>
      </c>
    </row>
    <row r="190" spans="1:9" x14ac:dyDescent="0.2">
      <c r="A190" s="109" t="s">
        <v>403</v>
      </c>
      <c r="B190" s="109" t="s">
        <v>498</v>
      </c>
      <c r="C190" s="109" t="s">
        <v>499</v>
      </c>
      <c r="D190" s="109" t="s">
        <v>408</v>
      </c>
      <c r="E190" s="109" t="s">
        <v>407</v>
      </c>
      <c r="F190" s="17">
        <v>22064468</v>
      </c>
      <c r="G190" t="s">
        <v>574</v>
      </c>
      <c r="H190">
        <f t="shared" si="5"/>
        <v>2.4283174999999999</v>
      </c>
      <c r="I190" s="17">
        <f t="shared" si="6"/>
        <v>9086.3192313196287</v>
      </c>
    </row>
    <row r="191" spans="1:9" x14ac:dyDescent="0.2">
      <c r="A191" s="109" t="s">
        <v>403</v>
      </c>
      <c r="B191" s="109" t="s">
        <v>498</v>
      </c>
      <c r="C191" s="109" t="s">
        <v>499</v>
      </c>
      <c r="D191" s="109" t="s">
        <v>409</v>
      </c>
      <c r="E191" s="109" t="s">
        <v>407</v>
      </c>
      <c r="F191" s="17">
        <v>70218658</v>
      </c>
      <c r="G191" t="s">
        <v>574</v>
      </c>
      <c r="H191">
        <f t="shared" si="5"/>
        <v>2.4283174999999999</v>
      </c>
      <c r="I191" s="17">
        <f t="shared" si="6"/>
        <v>28916.588543302103</v>
      </c>
    </row>
    <row r="192" spans="1:9" x14ac:dyDescent="0.2">
      <c r="A192" s="109" t="s">
        <v>403</v>
      </c>
      <c r="B192" s="109" t="s">
        <v>498</v>
      </c>
      <c r="C192" s="109" t="s">
        <v>499</v>
      </c>
      <c r="D192" s="109" t="s">
        <v>410</v>
      </c>
      <c r="E192" s="109" t="s">
        <v>407</v>
      </c>
      <c r="F192" s="17">
        <v>6484304</v>
      </c>
      <c r="G192" t="s">
        <v>574</v>
      </c>
      <c r="H192">
        <f t="shared" si="5"/>
        <v>2.4283174999999999</v>
      </c>
      <c r="I192" s="17">
        <f t="shared" si="6"/>
        <v>2670.2867314508917</v>
      </c>
    </row>
    <row r="193" spans="1:9" x14ac:dyDescent="0.2">
      <c r="A193" s="109" t="s">
        <v>403</v>
      </c>
      <c r="B193" s="109" t="s">
        <v>500</v>
      </c>
      <c r="C193" s="109" t="s">
        <v>501</v>
      </c>
      <c r="D193" s="109" t="s">
        <v>406</v>
      </c>
      <c r="E193" s="109" t="s">
        <v>407</v>
      </c>
      <c r="F193" s="17">
        <v>0</v>
      </c>
      <c r="G193" t="s">
        <v>574</v>
      </c>
      <c r="H193">
        <f t="shared" si="5"/>
        <v>2.4283174999999999</v>
      </c>
      <c r="I193" s="17">
        <f t="shared" si="6"/>
        <v>0</v>
      </c>
    </row>
    <row r="194" spans="1:9" x14ac:dyDescent="0.2">
      <c r="A194" s="109" t="s">
        <v>403</v>
      </c>
      <c r="B194" s="109" t="s">
        <v>500</v>
      </c>
      <c r="C194" s="109" t="s">
        <v>501</v>
      </c>
      <c r="D194" s="109" t="s">
        <v>469</v>
      </c>
      <c r="E194" s="109" t="s">
        <v>407</v>
      </c>
      <c r="F194" s="17">
        <v>13377</v>
      </c>
      <c r="G194" t="s">
        <v>574</v>
      </c>
      <c r="H194">
        <f t="shared" si="5"/>
        <v>2.4283174999999999</v>
      </c>
      <c r="I194" s="17">
        <f t="shared" si="6"/>
        <v>5.5087524592644916</v>
      </c>
    </row>
    <row r="195" spans="1:9" x14ac:dyDescent="0.2">
      <c r="A195" s="109" t="s">
        <v>403</v>
      </c>
      <c r="B195" s="109" t="s">
        <v>500</v>
      </c>
      <c r="C195" s="109" t="s">
        <v>501</v>
      </c>
      <c r="D195" s="109" t="s">
        <v>408</v>
      </c>
      <c r="E195" s="109" t="s">
        <v>407</v>
      </c>
      <c r="F195" s="17">
        <v>3619044</v>
      </c>
      <c r="G195" t="s">
        <v>574</v>
      </c>
      <c r="H195">
        <f t="shared" si="5"/>
        <v>2.4283174999999999</v>
      </c>
      <c r="I195" s="17">
        <f t="shared" si="6"/>
        <v>1490.3504175215969</v>
      </c>
    </row>
    <row r="196" spans="1:9" x14ac:dyDescent="0.2">
      <c r="A196" s="109" t="s">
        <v>403</v>
      </c>
      <c r="B196" s="109" t="s">
        <v>500</v>
      </c>
      <c r="C196" s="109" t="s">
        <v>501</v>
      </c>
      <c r="D196" s="109" t="s">
        <v>431</v>
      </c>
      <c r="E196" s="109" t="s">
        <v>407</v>
      </c>
      <c r="F196" s="17">
        <v>1618883</v>
      </c>
      <c r="G196" t="s">
        <v>574</v>
      </c>
      <c r="H196">
        <f t="shared" si="5"/>
        <v>2.4283174999999999</v>
      </c>
      <c r="I196" s="17">
        <f t="shared" si="6"/>
        <v>666.66858843623208</v>
      </c>
    </row>
    <row r="197" spans="1:9" x14ac:dyDescent="0.2">
      <c r="A197" s="109" t="s">
        <v>403</v>
      </c>
      <c r="B197" s="109" t="s">
        <v>500</v>
      </c>
      <c r="C197" s="109" t="s">
        <v>501</v>
      </c>
      <c r="D197" s="109" t="s">
        <v>409</v>
      </c>
      <c r="E197" s="109" t="s">
        <v>407</v>
      </c>
      <c r="F197" s="17">
        <v>66417704</v>
      </c>
      <c r="G197" t="s">
        <v>574</v>
      </c>
      <c r="H197">
        <f t="shared" si="5"/>
        <v>2.4283174999999999</v>
      </c>
      <c r="I197" s="17">
        <f t="shared" si="6"/>
        <v>27351.326175428047</v>
      </c>
    </row>
    <row r="198" spans="1:9" x14ac:dyDescent="0.2">
      <c r="A198" s="109" t="s">
        <v>403</v>
      </c>
      <c r="B198" s="109" t="s">
        <v>500</v>
      </c>
      <c r="C198" s="109" t="s">
        <v>501</v>
      </c>
      <c r="D198" s="109" t="s">
        <v>410</v>
      </c>
      <c r="E198" s="109" t="s">
        <v>407</v>
      </c>
      <c r="F198" s="17">
        <v>11489</v>
      </c>
      <c r="G198" t="s">
        <v>574</v>
      </c>
      <c r="H198">
        <f t="shared" si="5"/>
        <v>2.4283174999999999</v>
      </c>
      <c r="I198" s="17">
        <f t="shared" si="6"/>
        <v>4.7312594007991127</v>
      </c>
    </row>
    <row r="199" spans="1:9" x14ac:dyDescent="0.2">
      <c r="A199" s="109" t="s">
        <v>403</v>
      </c>
      <c r="B199" s="109" t="s">
        <v>502</v>
      </c>
      <c r="C199" s="109" t="s">
        <v>503</v>
      </c>
      <c r="D199" s="109" t="s">
        <v>406</v>
      </c>
      <c r="E199" s="109" t="s">
        <v>407</v>
      </c>
      <c r="F199" s="17">
        <v>0</v>
      </c>
      <c r="G199" t="s">
        <v>574</v>
      </c>
      <c r="H199">
        <f t="shared" si="5"/>
        <v>2.4283174999999999</v>
      </c>
      <c r="I199" s="17">
        <f t="shared" si="6"/>
        <v>0</v>
      </c>
    </row>
    <row r="200" spans="1:9" x14ac:dyDescent="0.2">
      <c r="A200" s="109" t="s">
        <v>403</v>
      </c>
      <c r="B200" s="109" t="s">
        <v>502</v>
      </c>
      <c r="C200" s="109" t="s">
        <v>503</v>
      </c>
      <c r="D200" s="109" t="s">
        <v>469</v>
      </c>
      <c r="E200" s="109" t="s">
        <v>407</v>
      </c>
      <c r="F200" s="17">
        <v>921</v>
      </c>
      <c r="G200" t="s">
        <v>574</v>
      </c>
      <c r="H200">
        <f t="shared" si="5"/>
        <v>2.4283174999999999</v>
      </c>
      <c r="I200" s="17">
        <f t="shared" si="6"/>
        <v>0.37927495066028227</v>
      </c>
    </row>
    <row r="201" spans="1:9" x14ac:dyDescent="0.2">
      <c r="A201" s="109" t="s">
        <v>403</v>
      </c>
      <c r="B201" s="109" t="s">
        <v>502</v>
      </c>
      <c r="C201" s="109" t="s">
        <v>503</v>
      </c>
      <c r="D201" s="109" t="s">
        <v>408</v>
      </c>
      <c r="E201" s="109" t="s">
        <v>407</v>
      </c>
      <c r="F201" s="17">
        <v>385427</v>
      </c>
      <c r="G201" t="s">
        <v>574</v>
      </c>
      <c r="H201">
        <f t="shared" si="5"/>
        <v>2.4283174999999999</v>
      </c>
      <c r="I201" s="17">
        <f t="shared" si="6"/>
        <v>158.72183106204193</v>
      </c>
    </row>
    <row r="202" spans="1:9" x14ac:dyDescent="0.2">
      <c r="A202" s="109" t="s">
        <v>403</v>
      </c>
      <c r="B202" s="109" t="s">
        <v>502</v>
      </c>
      <c r="C202" s="109" t="s">
        <v>503</v>
      </c>
      <c r="D202" s="109" t="s">
        <v>409</v>
      </c>
      <c r="E202" s="109" t="s">
        <v>407</v>
      </c>
      <c r="F202" s="17">
        <v>6454383</v>
      </c>
      <c r="G202" t="s">
        <v>574</v>
      </c>
      <c r="H202">
        <f t="shared" si="5"/>
        <v>2.4283174999999999</v>
      </c>
      <c r="I202" s="17">
        <f t="shared" si="6"/>
        <v>2657.9650313437187</v>
      </c>
    </row>
    <row r="203" spans="1:9" x14ac:dyDescent="0.2">
      <c r="A203" s="109" t="s">
        <v>403</v>
      </c>
      <c r="B203" s="109" t="s">
        <v>504</v>
      </c>
      <c r="C203" s="109" t="s">
        <v>505</v>
      </c>
      <c r="D203" s="109" t="s">
        <v>424</v>
      </c>
      <c r="E203" s="109" t="s">
        <v>407</v>
      </c>
      <c r="F203" s="17">
        <v>622979</v>
      </c>
      <c r="G203" t="s">
        <v>574</v>
      </c>
      <c r="H203">
        <f t="shared" si="5"/>
        <v>2.4283174999999999</v>
      </c>
      <c r="I203" s="17">
        <f t="shared" si="6"/>
        <v>256.54758901996962</v>
      </c>
    </row>
    <row r="204" spans="1:9" x14ac:dyDescent="0.2">
      <c r="A204" s="109" t="s">
        <v>403</v>
      </c>
      <c r="B204" s="109" t="s">
        <v>504</v>
      </c>
      <c r="C204" s="109" t="s">
        <v>505</v>
      </c>
      <c r="D204" s="109" t="s">
        <v>410</v>
      </c>
      <c r="E204" s="109" t="s">
        <v>407</v>
      </c>
      <c r="F204" s="17">
        <v>20015</v>
      </c>
      <c r="G204" t="s">
        <v>574</v>
      </c>
      <c r="H204">
        <f t="shared" si="5"/>
        <v>2.4283174999999999</v>
      </c>
      <c r="I204" s="17">
        <f t="shared" si="6"/>
        <v>8.2423323968138433</v>
      </c>
    </row>
    <row r="205" spans="1:9" x14ac:dyDescent="0.2">
      <c r="A205" s="109" t="s">
        <v>403</v>
      </c>
      <c r="B205" s="109" t="s">
        <v>506</v>
      </c>
      <c r="C205" s="109" t="s">
        <v>507</v>
      </c>
      <c r="D205" s="109" t="s">
        <v>406</v>
      </c>
      <c r="E205" s="109" t="s">
        <v>407</v>
      </c>
      <c r="F205" s="17">
        <v>0</v>
      </c>
      <c r="G205" t="s">
        <v>574</v>
      </c>
      <c r="H205">
        <f t="shared" si="5"/>
        <v>2.4283174999999999</v>
      </c>
      <c r="I205" s="17">
        <f t="shared" si="6"/>
        <v>0</v>
      </c>
    </row>
    <row r="206" spans="1:9" x14ac:dyDescent="0.2">
      <c r="A206" s="109" t="s">
        <v>403</v>
      </c>
      <c r="B206" s="109" t="s">
        <v>506</v>
      </c>
      <c r="C206" s="109" t="s">
        <v>507</v>
      </c>
      <c r="D206" s="109" t="s">
        <v>408</v>
      </c>
      <c r="E206" s="109" t="s">
        <v>407</v>
      </c>
      <c r="F206" s="17">
        <v>7126470</v>
      </c>
      <c r="G206" t="s">
        <v>574</v>
      </c>
      <c r="H206">
        <f t="shared" si="5"/>
        <v>2.4283174999999999</v>
      </c>
      <c r="I206" s="17">
        <f t="shared" si="6"/>
        <v>2934.7356760390685</v>
      </c>
    </row>
    <row r="207" spans="1:9" x14ac:dyDescent="0.2">
      <c r="A207" s="109" t="s">
        <v>403</v>
      </c>
      <c r="B207" s="109" t="s">
        <v>506</v>
      </c>
      <c r="C207" s="109" t="s">
        <v>507</v>
      </c>
      <c r="D207" s="109" t="s">
        <v>409</v>
      </c>
      <c r="E207" s="109" t="s">
        <v>407</v>
      </c>
      <c r="F207" s="17">
        <v>23657996</v>
      </c>
      <c r="G207" t="s">
        <v>574</v>
      </c>
      <c r="H207">
        <f t="shared" si="5"/>
        <v>2.4283174999999999</v>
      </c>
      <c r="I207" s="17">
        <f t="shared" si="6"/>
        <v>9742.5464338991915</v>
      </c>
    </row>
    <row r="208" spans="1:9" x14ac:dyDescent="0.2">
      <c r="A208" s="109" t="s">
        <v>403</v>
      </c>
      <c r="B208" s="109" t="s">
        <v>506</v>
      </c>
      <c r="C208" s="109" t="s">
        <v>507</v>
      </c>
      <c r="D208" s="109" t="s">
        <v>410</v>
      </c>
      <c r="E208" s="109" t="s">
        <v>407</v>
      </c>
      <c r="F208" s="17">
        <v>1379686</v>
      </c>
      <c r="G208" t="s">
        <v>574</v>
      </c>
      <c r="H208">
        <f t="shared" si="5"/>
        <v>2.4283174999999999</v>
      </c>
      <c r="I208" s="17">
        <f t="shared" si="6"/>
        <v>568.16540670649533</v>
      </c>
    </row>
    <row r="209" spans="1:9" x14ac:dyDescent="0.2">
      <c r="A209" s="109" t="s">
        <v>403</v>
      </c>
      <c r="B209" s="109" t="s">
        <v>506</v>
      </c>
      <c r="C209" s="109" t="s">
        <v>507</v>
      </c>
      <c r="D209" s="109" t="s">
        <v>415</v>
      </c>
      <c r="E209" s="109" t="s">
        <v>407</v>
      </c>
      <c r="F209" s="17">
        <v>591341</v>
      </c>
      <c r="G209" t="s">
        <v>574</v>
      </c>
      <c r="H209">
        <f t="shared" si="5"/>
        <v>2.4283174999999999</v>
      </c>
      <c r="I209" s="17">
        <f t="shared" si="6"/>
        <v>243.51881498197827</v>
      </c>
    </row>
    <row r="210" spans="1:9" x14ac:dyDescent="0.2">
      <c r="A210" s="109" t="s">
        <v>403</v>
      </c>
      <c r="B210" s="109" t="s">
        <v>508</v>
      </c>
      <c r="C210" s="109" t="s">
        <v>509</v>
      </c>
      <c r="D210" s="109" t="s">
        <v>406</v>
      </c>
      <c r="E210" s="109" t="s">
        <v>407</v>
      </c>
      <c r="F210" s="17">
        <v>0</v>
      </c>
      <c r="G210" t="s">
        <v>574</v>
      </c>
      <c r="H210">
        <f t="shared" si="5"/>
        <v>2.4283174999999999</v>
      </c>
      <c r="I210" s="17">
        <f t="shared" si="6"/>
        <v>0</v>
      </c>
    </row>
    <row r="211" spans="1:9" x14ac:dyDescent="0.2">
      <c r="A211" s="109" t="s">
        <v>403</v>
      </c>
      <c r="B211" s="109" t="s">
        <v>508</v>
      </c>
      <c r="C211" s="109" t="s">
        <v>509</v>
      </c>
      <c r="D211" s="109" t="s">
        <v>408</v>
      </c>
      <c r="E211" s="109" t="s">
        <v>407</v>
      </c>
      <c r="F211" s="17">
        <v>18823314</v>
      </c>
      <c r="G211" t="s">
        <v>574</v>
      </c>
      <c r="H211">
        <f t="shared" si="5"/>
        <v>2.4283174999999999</v>
      </c>
      <c r="I211" s="17">
        <f t="shared" si="6"/>
        <v>7751.5868497426718</v>
      </c>
    </row>
    <row r="212" spans="1:9" x14ac:dyDescent="0.2">
      <c r="A212" s="109" t="s">
        <v>403</v>
      </c>
      <c r="B212" s="109" t="s">
        <v>508</v>
      </c>
      <c r="C212" s="109" t="s">
        <v>509</v>
      </c>
      <c r="D212" s="109" t="s">
        <v>409</v>
      </c>
      <c r="E212" s="109" t="s">
        <v>407</v>
      </c>
      <c r="F212" s="17">
        <v>35375002</v>
      </c>
      <c r="G212" t="s">
        <v>574</v>
      </c>
      <c r="H212">
        <f t="shared" si="5"/>
        <v>2.4283174999999999</v>
      </c>
      <c r="I212" s="17">
        <f t="shared" si="6"/>
        <v>14567.700475740921</v>
      </c>
    </row>
    <row r="213" spans="1:9" x14ac:dyDescent="0.2">
      <c r="A213" s="109" t="s">
        <v>403</v>
      </c>
      <c r="B213" s="109" t="s">
        <v>508</v>
      </c>
      <c r="C213" s="109" t="s">
        <v>509</v>
      </c>
      <c r="D213" s="109" t="s">
        <v>410</v>
      </c>
      <c r="E213" s="109" t="s">
        <v>407</v>
      </c>
      <c r="F213" s="17">
        <v>8069477</v>
      </c>
      <c r="G213" t="s">
        <v>574</v>
      </c>
      <c r="H213">
        <f t="shared" si="5"/>
        <v>2.4283174999999999</v>
      </c>
      <c r="I213" s="17">
        <f t="shared" si="6"/>
        <v>3323.0732801620875</v>
      </c>
    </row>
    <row r="214" spans="1:9" x14ac:dyDescent="0.2">
      <c r="A214" s="109" t="s">
        <v>403</v>
      </c>
      <c r="B214" s="109" t="s">
        <v>510</v>
      </c>
      <c r="C214" s="109" t="s">
        <v>511</v>
      </c>
      <c r="D214" s="109" t="s">
        <v>406</v>
      </c>
      <c r="E214" s="109" t="s">
        <v>407</v>
      </c>
      <c r="F214" s="17">
        <v>0</v>
      </c>
      <c r="G214" t="s">
        <v>574</v>
      </c>
      <c r="H214">
        <f t="shared" si="5"/>
        <v>2.4283174999999999</v>
      </c>
      <c r="I214" s="17">
        <f t="shared" si="6"/>
        <v>0</v>
      </c>
    </row>
    <row r="215" spans="1:9" x14ac:dyDescent="0.2">
      <c r="A215" s="109" t="s">
        <v>403</v>
      </c>
      <c r="B215" s="109" t="s">
        <v>510</v>
      </c>
      <c r="C215" s="109" t="s">
        <v>511</v>
      </c>
      <c r="D215" s="109" t="s">
        <v>424</v>
      </c>
      <c r="E215" s="109" t="s">
        <v>407</v>
      </c>
      <c r="F215" s="17">
        <v>64749843</v>
      </c>
      <c r="G215" t="s">
        <v>574</v>
      </c>
      <c r="H215">
        <f t="shared" ref="H215:H278" si="7">INDEX($B$366:$B$379,MATCH($G215,$A$366:$A$379,0),1)</f>
        <v>2.4283174999999999</v>
      </c>
      <c r="I215" s="17">
        <f t="shared" ref="I215:I278" si="8">F215/H215*10^-3</f>
        <v>26664.488066325757</v>
      </c>
    </row>
    <row r="216" spans="1:9" x14ac:dyDescent="0.2">
      <c r="A216" s="109" t="s">
        <v>403</v>
      </c>
      <c r="B216" s="109" t="s">
        <v>510</v>
      </c>
      <c r="C216" s="109" t="s">
        <v>511</v>
      </c>
      <c r="D216" s="109" t="s">
        <v>410</v>
      </c>
      <c r="E216" s="109" t="s">
        <v>407</v>
      </c>
      <c r="F216" s="17">
        <v>2729121</v>
      </c>
      <c r="G216" t="s">
        <v>574</v>
      </c>
      <c r="H216">
        <f t="shared" si="7"/>
        <v>2.4283174999999999</v>
      </c>
      <c r="I216" s="17">
        <f t="shared" si="8"/>
        <v>1123.873216743692</v>
      </c>
    </row>
    <row r="217" spans="1:9" x14ac:dyDescent="0.2">
      <c r="A217" s="109" t="s">
        <v>403</v>
      </c>
      <c r="B217" s="109" t="s">
        <v>510</v>
      </c>
      <c r="C217" s="109" t="s">
        <v>511</v>
      </c>
      <c r="D217" s="109" t="s">
        <v>415</v>
      </c>
      <c r="E217" s="109" t="s">
        <v>407</v>
      </c>
      <c r="F217" s="17">
        <v>31434</v>
      </c>
      <c r="G217" t="s">
        <v>574</v>
      </c>
      <c r="H217">
        <f t="shared" si="7"/>
        <v>2.4283174999999999</v>
      </c>
      <c r="I217" s="17">
        <f t="shared" si="8"/>
        <v>12.944765254131719</v>
      </c>
    </row>
    <row r="218" spans="1:9" x14ac:dyDescent="0.2">
      <c r="A218" s="109" t="s">
        <v>403</v>
      </c>
      <c r="B218" s="109" t="s">
        <v>512</v>
      </c>
      <c r="C218" s="109" t="s">
        <v>513</v>
      </c>
      <c r="D218" s="109" t="s">
        <v>464</v>
      </c>
      <c r="E218" s="109" t="s">
        <v>407</v>
      </c>
      <c r="F218" s="17">
        <v>6887</v>
      </c>
      <c r="G218" t="s">
        <v>574</v>
      </c>
      <c r="H218">
        <f t="shared" si="7"/>
        <v>2.4283174999999999</v>
      </c>
      <c r="I218" s="17">
        <f t="shared" si="8"/>
        <v>2.8361200707897547</v>
      </c>
    </row>
    <row r="219" spans="1:9" x14ac:dyDescent="0.2">
      <c r="A219" s="109" t="s">
        <v>403</v>
      </c>
      <c r="B219" s="109" t="s">
        <v>512</v>
      </c>
      <c r="C219" s="109" t="s">
        <v>513</v>
      </c>
      <c r="D219" s="109" t="s">
        <v>408</v>
      </c>
      <c r="E219" s="109" t="s">
        <v>407</v>
      </c>
      <c r="F219" s="17">
        <v>14986437</v>
      </c>
      <c r="G219" t="s">
        <v>574</v>
      </c>
      <c r="H219">
        <f t="shared" si="7"/>
        <v>2.4283174999999999</v>
      </c>
      <c r="I219" s="17">
        <f t="shared" si="8"/>
        <v>6171.5311115618124</v>
      </c>
    </row>
    <row r="220" spans="1:9" x14ac:dyDescent="0.2">
      <c r="A220" s="109" t="s">
        <v>403</v>
      </c>
      <c r="B220" s="109" t="s">
        <v>512</v>
      </c>
      <c r="C220" s="109" t="s">
        <v>513</v>
      </c>
      <c r="D220" s="109" t="s">
        <v>431</v>
      </c>
      <c r="E220" s="109" t="s">
        <v>407</v>
      </c>
      <c r="F220" s="17">
        <v>201928</v>
      </c>
      <c r="G220" t="s">
        <v>574</v>
      </c>
      <c r="H220">
        <f t="shared" si="7"/>
        <v>2.4283174999999999</v>
      </c>
      <c r="I220" s="17">
        <f t="shared" si="8"/>
        <v>83.155518172561884</v>
      </c>
    </row>
    <row r="221" spans="1:9" x14ac:dyDescent="0.2">
      <c r="A221" s="109" t="s">
        <v>403</v>
      </c>
      <c r="B221" s="109" t="s">
        <v>512</v>
      </c>
      <c r="C221" s="109" t="s">
        <v>513</v>
      </c>
      <c r="D221" s="109" t="s">
        <v>409</v>
      </c>
      <c r="E221" s="109" t="s">
        <v>407</v>
      </c>
      <c r="F221" s="17">
        <v>91720300</v>
      </c>
      <c r="G221" t="s">
        <v>574</v>
      </c>
      <c r="H221">
        <f t="shared" si="7"/>
        <v>2.4283174999999999</v>
      </c>
      <c r="I221" s="17">
        <f t="shared" si="8"/>
        <v>37771.131658030718</v>
      </c>
    </row>
    <row r="222" spans="1:9" x14ac:dyDescent="0.2">
      <c r="A222" s="109" t="s">
        <v>403</v>
      </c>
      <c r="B222" s="109" t="s">
        <v>512</v>
      </c>
      <c r="C222" s="109" t="s">
        <v>513</v>
      </c>
      <c r="D222" s="109" t="s">
        <v>410</v>
      </c>
      <c r="E222" s="109" t="s">
        <v>407</v>
      </c>
      <c r="F222" s="17">
        <v>1337261</v>
      </c>
      <c r="G222" t="s">
        <v>574</v>
      </c>
      <c r="H222">
        <f t="shared" si="7"/>
        <v>2.4283174999999999</v>
      </c>
      <c r="I222" s="17">
        <f t="shared" si="8"/>
        <v>550.69446231804534</v>
      </c>
    </row>
    <row r="223" spans="1:9" x14ac:dyDescent="0.2">
      <c r="A223" s="109" t="s">
        <v>403</v>
      </c>
      <c r="B223" s="109" t="s">
        <v>512</v>
      </c>
      <c r="C223" s="109" t="s">
        <v>513</v>
      </c>
      <c r="D223" s="109" t="s">
        <v>415</v>
      </c>
      <c r="E223" s="109" t="s">
        <v>407</v>
      </c>
      <c r="F223" s="17">
        <v>189355</v>
      </c>
      <c r="G223" t="s">
        <v>574</v>
      </c>
      <c r="H223">
        <f t="shared" si="7"/>
        <v>2.4283174999999999</v>
      </c>
      <c r="I223" s="17">
        <f t="shared" si="8"/>
        <v>77.9778591555676</v>
      </c>
    </row>
    <row r="224" spans="1:9" x14ac:dyDescent="0.2">
      <c r="A224" s="109" t="s">
        <v>403</v>
      </c>
      <c r="B224" s="109" t="s">
        <v>514</v>
      </c>
      <c r="C224" s="109" t="s">
        <v>515</v>
      </c>
      <c r="D224" s="109" t="s">
        <v>406</v>
      </c>
      <c r="E224" s="109" t="s">
        <v>407</v>
      </c>
      <c r="F224" s="17">
        <v>0</v>
      </c>
      <c r="G224" t="s">
        <v>574</v>
      </c>
      <c r="H224">
        <f t="shared" si="7"/>
        <v>2.4283174999999999</v>
      </c>
      <c r="I224" s="17">
        <f t="shared" si="8"/>
        <v>0</v>
      </c>
    </row>
    <row r="225" spans="1:9" x14ac:dyDescent="0.2">
      <c r="A225" s="109" t="s">
        <v>403</v>
      </c>
      <c r="B225" s="109" t="s">
        <v>514</v>
      </c>
      <c r="C225" s="109" t="s">
        <v>515</v>
      </c>
      <c r="D225" s="109" t="s">
        <v>464</v>
      </c>
      <c r="E225" s="109" t="s">
        <v>407</v>
      </c>
      <c r="F225" s="17">
        <v>6873</v>
      </c>
      <c r="G225" t="s">
        <v>574</v>
      </c>
      <c r="H225">
        <f t="shared" si="7"/>
        <v>2.4283174999999999</v>
      </c>
      <c r="I225" s="17">
        <f t="shared" si="8"/>
        <v>2.8303547620935072</v>
      </c>
    </row>
    <row r="226" spans="1:9" x14ac:dyDescent="0.2">
      <c r="A226" s="109" t="s">
        <v>403</v>
      </c>
      <c r="B226" s="109" t="s">
        <v>514</v>
      </c>
      <c r="C226" s="109" t="s">
        <v>515</v>
      </c>
      <c r="D226" s="109" t="s">
        <v>408</v>
      </c>
      <c r="E226" s="109" t="s">
        <v>407</v>
      </c>
      <c r="F226" s="17">
        <v>287527572</v>
      </c>
      <c r="G226" t="s">
        <v>574</v>
      </c>
      <c r="H226">
        <f t="shared" si="7"/>
        <v>2.4283174999999999</v>
      </c>
      <c r="I226" s="17">
        <f t="shared" si="8"/>
        <v>118406.08651875218</v>
      </c>
    </row>
    <row r="227" spans="1:9" x14ac:dyDescent="0.2">
      <c r="A227" s="109" t="s">
        <v>403</v>
      </c>
      <c r="B227" s="109" t="s">
        <v>514</v>
      </c>
      <c r="C227" s="109" t="s">
        <v>515</v>
      </c>
      <c r="D227" s="109" t="s">
        <v>431</v>
      </c>
      <c r="E227" s="109" t="s">
        <v>407</v>
      </c>
      <c r="F227" s="17">
        <v>23634447</v>
      </c>
      <c r="G227" t="s">
        <v>574</v>
      </c>
      <c r="H227">
        <f t="shared" si="7"/>
        <v>2.4283174999999999</v>
      </c>
      <c r="I227" s="17">
        <f t="shared" si="8"/>
        <v>9732.8487728643395</v>
      </c>
    </row>
    <row r="228" spans="1:9" x14ac:dyDescent="0.2">
      <c r="A228" s="109" t="s">
        <v>403</v>
      </c>
      <c r="B228" s="109" t="s">
        <v>514</v>
      </c>
      <c r="C228" s="109" t="s">
        <v>515</v>
      </c>
      <c r="D228" s="109" t="s">
        <v>409</v>
      </c>
      <c r="E228" s="109" t="s">
        <v>407</v>
      </c>
      <c r="F228" s="17">
        <v>410818389</v>
      </c>
      <c r="G228" t="s">
        <v>574</v>
      </c>
      <c r="H228">
        <f t="shared" si="7"/>
        <v>2.4283174999999999</v>
      </c>
      <c r="I228" s="17">
        <f t="shared" si="8"/>
        <v>169178.202191435</v>
      </c>
    </row>
    <row r="229" spans="1:9" x14ac:dyDescent="0.2">
      <c r="A229" s="109" t="s">
        <v>403</v>
      </c>
      <c r="B229" s="109" t="s">
        <v>514</v>
      </c>
      <c r="C229" s="109" t="s">
        <v>515</v>
      </c>
      <c r="D229" s="109" t="s">
        <v>410</v>
      </c>
      <c r="E229" s="109" t="s">
        <v>407</v>
      </c>
      <c r="F229" s="17">
        <v>43662083</v>
      </c>
      <c r="G229" t="s">
        <v>574</v>
      </c>
      <c r="H229">
        <f t="shared" si="7"/>
        <v>2.4283174999999999</v>
      </c>
      <c r="I229" s="17">
        <f t="shared" si="8"/>
        <v>17980.384772584312</v>
      </c>
    </row>
    <row r="230" spans="1:9" x14ac:dyDescent="0.2">
      <c r="A230" s="109" t="s">
        <v>403</v>
      </c>
      <c r="B230" s="109" t="s">
        <v>514</v>
      </c>
      <c r="C230" s="109" t="s">
        <v>515</v>
      </c>
      <c r="D230" s="109" t="s">
        <v>415</v>
      </c>
      <c r="E230" s="109" t="s">
        <v>407</v>
      </c>
      <c r="F230" s="17">
        <v>312440</v>
      </c>
      <c r="G230" t="s">
        <v>574</v>
      </c>
      <c r="H230">
        <f t="shared" si="7"/>
        <v>2.4283174999999999</v>
      </c>
      <c r="I230" s="17">
        <f t="shared" si="8"/>
        <v>128.66521778968362</v>
      </c>
    </row>
    <row r="231" spans="1:9" x14ac:dyDescent="0.2">
      <c r="A231" s="109" t="s">
        <v>403</v>
      </c>
      <c r="B231" s="109" t="s">
        <v>516</v>
      </c>
      <c r="C231" s="109" t="s">
        <v>517</v>
      </c>
      <c r="D231" s="109" t="s">
        <v>406</v>
      </c>
      <c r="E231" s="109" t="s">
        <v>407</v>
      </c>
      <c r="F231" s="17">
        <v>0</v>
      </c>
      <c r="G231" t="s">
        <v>574</v>
      </c>
      <c r="H231">
        <f t="shared" si="7"/>
        <v>2.4283174999999999</v>
      </c>
      <c r="I231" s="17">
        <f t="shared" si="8"/>
        <v>0</v>
      </c>
    </row>
    <row r="232" spans="1:9" x14ac:dyDescent="0.2">
      <c r="A232" s="109" t="s">
        <v>403</v>
      </c>
      <c r="B232" s="109" t="s">
        <v>516</v>
      </c>
      <c r="C232" s="109" t="s">
        <v>517</v>
      </c>
      <c r="D232" s="109" t="s">
        <v>408</v>
      </c>
      <c r="E232" s="109" t="s">
        <v>407</v>
      </c>
      <c r="F232" s="17">
        <v>36942805</v>
      </c>
      <c r="G232" t="s">
        <v>574</v>
      </c>
      <c r="H232">
        <f t="shared" si="7"/>
        <v>2.4283174999999999</v>
      </c>
      <c r="I232" s="17">
        <f t="shared" si="8"/>
        <v>15213.33392359113</v>
      </c>
    </row>
    <row r="233" spans="1:9" x14ac:dyDescent="0.2">
      <c r="A233" s="109" t="s">
        <v>403</v>
      </c>
      <c r="B233" s="109" t="s">
        <v>516</v>
      </c>
      <c r="C233" s="109" t="s">
        <v>517</v>
      </c>
      <c r="D233" s="109" t="s">
        <v>409</v>
      </c>
      <c r="E233" s="109" t="s">
        <v>407</v>
      </c>
      <c r="F233" s="17">
        <v>51651300</v>
      </c>
      <c r="G233" t="s">
        <v>574</v>
      </c>
      <c r="H233">
        <f t="shared" si="7"/>
        <v>2.4283174999999999</v>
      </c>
      <c r="I233" s="17">
        <f t="shared" si="8"/>
        <v>21270.406361606339</v>
      </c>
    </row>
    <row r="234" spans="1:9" x14ac:dyDescent="0.2">
      <c r="A234" s="109" t="s">
        <v>403</v>
      </c>
      <c r="B234" s="109" t="s">
        <v>516</v>
      </c>
      <c r="C234" s="109" t="s">
        <v>517</v>
      </c>
      <c r="D234" s="109" t="s">
        <v>410</v>
      </c>
      <c r="E234" s="109" t="s">
        <v>407</v>
      </c>
      <c r="F234" s="17">
        <v>324492</v>
      </c>
      <c r="G234" t="s">
        <v>574</v>
      </c>
      <c r="H234">
        <f t="shared" si="7"/>
        <v>2.4283174999999999</v>
      </c>
      <c r="I234" s="17">
        <f t="shared" si="8"/>
        <v>133.62832496162466</v>
      </c>
    </row>
    <row r="235" spans="1:9" x14ac:dyDescent="0.2">
      <c r="A235" s="109" t="s">
        <v>403</v>
      </c>
      <c r="B235" s="109" t="s">
        <v>518</v>
      </c>
      <c r="C235" s="109" t="s">
        <v>519</v>
      </c>
      <c r="D235" s="109" t="s">
        <v>406</v>
      </c>
      <c r="E235" s="109" t="s">
        <v>407</v>
      </c>
      <c r="F235" s="17">
        <v>0</v>
      </c>
      <c r="G235" t="s">
        <v>574</v>
      </c>
      <c r="H235">
        <f t="shared" si="7"/>
        <v>2.4283174999999999</v>
      </c>
      <c r="I235" s="17">
        <f t="shared" si="8"/>
        <v>0</v>
      </c>
    </row>
    <row r="236" spans="1:9" x14ac:dyDescent="0.2">
      <c r="A236" s="109" t="s">
        <v>403</v>
      </c>
      <c r="B236" s="109" t="s">
        <v>518</v>
      </c>
      <c r="C236" s="109" t="s">
        <v>519</v>
      </c>
      <c r="D236" s="109" t="s">
        <v>424</v>
      </c>
      <c r="E236" s="109" t="s">
        <v>407</v>
      </c>
      <c r="F236" s="17">
        <v>74798</v>
      </c>
      <c r="G236" t="s">
        <v>574</v>
      </c>
      <c r="H236">
        <f t="shared" si="7"/>
        <v>2.4283174999999999</v>
      </c>
      <c r="I236" s="17">
        <f t="shared" si="8"/>
        <v>30.802397132994351</v>
      </c>
    </row>
    <row r="237" spans="1:9" x14ac:dyDescent="0.2">
      <c r="A237" s="109" t="s">
        <v>403</v>
      </c>
      <c r="B237" s="109" t="s">
        <v>518</v>
      </c>
      <c r="C237" s="109" t="s">
        <v>519</v>
      </c>
      <c r="D237" s="109" t="s">
        <v>469</v>
      </c>
      <c r="E237" s="109" t="s">
        <v>407</v>
      </c>
      <c r="F237" s="17">
        <v>6814</v>
      </c>
      <c r="G237" t="s">
        <v>574</v>
      </c>
      <c r="H237">
        <f t="shared" si="7"/>
        <v>2.4283174999999999</v>
      </c>
      <c r="I237" s="17">
        <f t="shared" si="8"/>
        <v>2.8060581040164645</v>
      </c>
    </row>
    <row r="238" spans="1:9" x14ac:dyDescent="0.2">
      <c r="A238" s="109" t="s">
        <v>403</v>
      </c>
      <c r="B238" s="109" t="s">
        <v>518</v>
      </c>
      <c r="C238" s="109" t="s">
        <v>519</v>
      </c>
      <c r="D238" s="109" t="s">
        <v>408</v>
      </c>
      <c r="E238" s="109" t="s">
        <v>407</v>
      </c>
      <c r="F238" s="17">
        <v>138932581</v>
      </c>
      <c r="G238" t="s">
        <v>574</v>
      </c>
      <c r="H238">
        <f t="shared" si="7"/>
        <v>2.4283174999999999</v>
      </c>
      <c r="I238" s="17">
        <f t="shared" si="8"/>
        <v>57213.515530815064</v>
      </c>
    </row>
    <row r="239" spans="1:9" x14ac:dyDescent="0.2">
      <c r="A239" s="109" t="s">
        <v>403</v>
      </c>
      <c r="B239" s="109" t="s">
        <v>518</v>
      </c>
      <c r="C239" s="109" t="s">
        <v>519</v>
      </c>
      <c r="D239" s="109" t="s">
        <v>431</v>
      </c>
      <c r="E239" s="109" t="s">
        <v>407</v>
      </c>
      <c r="F239" s="17">
        <v>8473928</v>
      </c>
      <c r="G239" t="s">
        <v>574</v>
      </c>
      <c r="H239">
        <f t="shared" si="7"/>
        <v>2.4283174999999999</v>
      </c>
      <c r="I239" s="17">
        <f t="shared" si="8"/>
        <v>3489.6293421268019</v>
      </c>
    </row>
    <row r="240" spans="1:9" x14ac:dyDescent="0.2">
      <c r="A240" s="109" t="s">
        <v>403</v>
      </c>
      <c r="B240" s="109" t="s">
        <v>518</v>
      </c>
      <c r="C240" s="109" t="s">
        <v>519</v>
      </c>
      <c r="D240" s="109" t="s">
        <v>409</v>
      </c>
      <c r="E240" s="109" t="s">
        <v>407</v>
      </c>
      <c r="F240" s="17">
        <v>211619662</v>
      </c>
      <c r="G240" t="s">
        <v>574</v>
      </c>
      <c r="H240">
        <f t="shared" si="7"/>
        <v>2.4283174999999999</v>
      </c>
      <c r="I240" s="17">
        <f t="shared" si="8"/>
        <v>87146.619830396987</v>
      </c>
    </row>
    <row r="241" spans="1:9" x14ac:dyDescent="0.2">
      <c r="A241" s="109" t="s">
        <v>403</v>
      </c>
      <c r="B241" s="109" t="s">
        <v>518</v>
      </c>
      <c r="C241" s="109" t="s">
        <v>519</v>
      </c>
      <c r="D241" s="109" t="s">
        <v>410</v>
      </c>
      <c r="E241" s="109" t="s">
        <v>407</v>
      </c>
      <c r="F241" s="17">
        <v>32860817</v>
      </c>
      <c r="G241" t="s">
        <v>574</v>
      </c>
      <c r="H241">
        <f t="shared" si="7"/>
        <v>2.4283174999999999</v>
      </c>
      <c r="I241" s="17">
        <f t="shared" si="8"/>
        <v>13532.339572564133</v>
      </c>
    </row>
    <row r="242" spans="1:9" x14ac:dyDescent="0.2">
      <c r="A242" s="109" t="s">
        <v>403</v>
      </c>
      <c r="B242" s="109" t="s">
        <v>518</v>
      </c>
      <c r="C242" s="109" t="s">
        <v>519</v>
      </c>
      <c r="D242" s="109" t="s">
        <v>415</v>
      </c>
      <c r="E242" s="109" t="s">
        <v>407</v>
      </c>
      <c r="F242" s="17">
        <v>88896</v>
      </c>
      <c r="G242" t="s">
        <v>574</v>
      </c>
      <c r="H242">
        <f t="shared" si="7"/>
        <v>2.4283174999999999</v>
      </c>
      <c r="I242" s="17">
        <f t="shared" si="8"/>
        <v>36.608062990115585</v>
      </c>
    </row>
    <row r="243" spans="1:9" x14ac:dyDescent="0.2">
      <c r="A243" s="109" t="s">
        <v>403</v>
      </c>
      <c r="B243" s="109" t="s">
        <v>520</v>
      </c>
      <c r="C243" s="109" t="s">
        <v>521</v>
      </c>
      <c r="D243" s="109" t="s">
        <v>406</v>
      </c>
      <c r="E243" s="109" t="s">
        <v>407</v>
      </c>
      <c r="F243" s="17">
        <v>0</v>
      </c>
      <c r="G243" t="s">
        <v>574</v>
      </c>
      <c r="H243">
        <f t="shared" si="7"/>
        <v>2.4283174999999999</v>
      </c>
      <c r="I243" s="17">
        <f t="shared" si="8"/>
        <v>0</v>
      </c>
    </row>
    <row r="244" spans="1:9" x14ac:dyDescent="0.2">
      <c r="A244" s="109" t="s">
        <v>403</v>
      </c>
      <c r="B244" s="109" t="s">
        <v>520</v>
      </c>
      <c r="C244" s="109" t="s">
        <v>521</v>
      </c>
      <c r="D244" s="109" t="s">
        <v>408</v>
      </c>
      <c r="E244" s="109" t="s">
        <v>407</v>
      </c>
      <c r="F244" s="17">
        <v>191123442</v>
      </c>
      <c r="G244" t="s">
        <v>574</v>
      </c>
      <c r="H244">
        <f t="shared" si="7"/>
        <v>2.4283174999999999</v>
      </c>
      <c r="I244" s="17">
        <f t="shared" si="8"/>
        <v>78706.117301382546</v>
      </c>
    </row>
    <row r="245" spans="1:9" x14ac:dyDescent="0.2">
      <c r="A245" s="109" t="s">
        <v>403</v>
      </c>
      <c r="B245" s="109" t="s">
        <v>520</v>
      </c>
      <c r="C245" s="109" t="s">
        <v>521</v>
      </c>
      <c r="D245" s="109" t="s">
        <v>431</v>
      </c>
      <c r="E245" s="109" t="s">
        <v>407</v>
      </c>
      <c r="F245" s="17">
        <v>19292911</v>
      </c>
      <c r="G245" t="s">
        <v>574</v>
      </c>
      <c r="H245">
        <f t="shared" si="7"/>
        <v>2.4283174999999999</v>
      </c>
      <c r="I245" s="17">
        <f t="shared" si="8"/>
        <v>7944.9705403020826</v>
      </c>
    </row>
    <row r="246" spans="1:9" x14ac:dyDescent="0.2">
      <c r="A246" s="109" t="s">
        <v>403</v>
      </c>
      <c r="B246" s="109" t="s">
        <v>520</v>
      </c>
      <c r="C246" s="109" t="s">
        <v>521</v>
      </c>
      <c r="D246" s="109" t="s">
        <v>409</v>
      </c>
      <c r="E246" s="109" t="s">
        <v>407</v>
      </c>
      <c r="F246" s="17">
        <v>213661698</v>
      </c>
      <c r="G246" t="s">
        <v>574</v>
      </c>
      <c r="H246">
        <f t="shared" si="7"/>
        <v>2.4283174999999999</v>
      </c>
      <c r="I246" s="17">
        <f t="shared" si="8"/>
        <v>87987.546109600575</v>
      </c>
    </row>
    <row r="247" spans="1:9" x14ac:dyDescent="0.2">
      <c r="A247" s="109" t="s">
        <v>403</v>
      </c>
      <c r="B247" s="109" t="s">
        <v>520</v>
      </c>
      <c r="C247" s="109" t="s">
        <v>521</v>
      </c>
      <c r="D247" s="109" t="s">
        <v>410</v>
      </c>
      <c r="E247" s="109" t="s">
        <v>407</v>
      </c>
      <c r="F247" s="17">
        <v>3676761</v>
      </c>
      <c r="G247" t="s">
        <v>574</v>
      </c>
      <c r="H247">
        <f t="shared" si="7"/>
        <v>2.4283174999999999</v>
      </c>
      <c r="I247" s="17">
        <f t="shared" si="8"/>
        <v>1514.1187262374051</v>
      </c>
    </row>
    <row r="248" spans="1:9" x14ac:dyDescent="0.2">
      <c r="A248" s="109" t="s">
        <v>403</v>
      </c>
      <c r="B248" s="109" t="s">
        <v>520</v>
      </c>
      <c r="C248" s="109" t="s">
        <v>521</v>
      </c>
      <c r="D248" s="109" t="s">
        <v>415</v>
      </c>
      <c r="E248" s="109" t="s">
        <v>407</v>
      </c>
      <c r="F248" s="17">
        <v>7053</v>
      </c>
      <c r="G248" t="s">
        <v>574</v>
      </c>
      <c r="H248">
        <f t="shared" si="7"/>
        <v>2.4283174999999999</v>
      </c>
      <c r="I248" s="17">
        <f t="shared" si="8"/>
        <v>2.9044801596166896</v>
      </c>
    </row>
    <row r="249" spans="1:9" x14ac:dyDescent="0.2">
      <c r="A249" s="109" t="s">
        <v>403</v>
      </c>
      <c r="B249" s="109" t="s">
        <v>522</v>
      </c>
      <c r="C249" s="109" t="s">
        <v>523</v>
      </c>
      <c r="D249" s="109" t="s">
        <v>406</v>
      </c>
      <c r="E249" s="109" t="s">
        <v>407</v>
      </c>
      <c r="F249" s="17">
        <v>0</v>
      </c>
      <c r="G249" t="s">
        <v>32</v>
      </c>
      <c r="H249">
        <f t="shared" si="7"/>
        <v>3.5259999999999998</v>
      </c>
      <c r="I249" s="17">
        <f t="shared" si="8"/>
        <v>0</v>
      </c>
    </row>
    <row r="250" spans="1:9" x14ac:dyDescent="0.2">
      <c r="A250" s="109" t="s">
        <v>403</v>
      </c>
      <c r="B250" s="109" t="s">
        <v>522</v>
      </c>
      <c r="C250" s="109" t="s">
        <v>523</v>
      </c>
      <c r="D250" s="109" t="s">
        <v>469</v>
      </c>
      <c r="E250" s="109" t="s">
        <v>407</v>
      </c>
      <c r="F250" s="17">
        <v>373</v>
      </c>
      <c r="G250" t="s">
        <v>32</v>
      </c>
      <c r="H250">
        <f t="shared" si="7"/>
        <v>3.5259999999999998</v>
      </c>
      <c r="I250" s="17">
        <f t="shared" si="8"/>
        <v>0.10578559273964834</v>
      </c>
    </row>
    <row r="251" spans="1:9" x14ac:dyDescent="0.2">
      <c r="A251" s="109" t="s">
        <v>403</v>
      </c>
      <c r="B251" s="109" t="s">
        <v>522</v>
      </c>
      <c r="C251" s="109" t="s">
        <v>523</v>
      </c>
      <c r="D251" s="109" t="s">
        <v>408</v>
      </c>
      <c r="E251" s="109" t="s">
        <v>407</v>
      </c>
      <c r="F251" s="17">
        <v>86724068</v>
      </c>
      <c r="G251" t="s">
        <v>32</v>
      </c>
      <c r="H251">
        <f t="shared" si="7"/>
        <v>3.5259999999999998</v>
      </c>
      <c r="I251" s="17">
        <f t="shared" si="8"/>
        <v>24595.59500850823</v>
      </c>
    </row>
    <row r="252" spans="1:9" x14ac:dyDescent="0.2">
      <c r="A252" s="109" t="s">
        <v>403</v>
      </c>
      <c r="B252" s="109" t="s">
        <v>522</v>
      </c>
      <c r="C252" s="109" t="s">
        <v>523</v>
      </c>
      <c r="D252" s="109" t="s">
        <v>409</v>
      </c>
      <c r="E252" s="109" t="s">
        <v>407</v>
      </c>
      <c r="F252" s="17">
        <v>196968514</v>
      </c>
      <c r="G252" t="s">
        <v>32</v>
      </c>
      <c r="H252">
        <f t="shared" si="7"/>
        <v>3.5259999999999998</v>
      </c>
      <c r="I252" s="17">
        <f t="shared" si="8"/>
        <v>55861.745320476468</v>
      </c>
    </row>
    <row r="253" spans="1:9" x14ac:dyDescent="0.2">
      <c r="A253" s="109" t="s">
        <v>403</v>
      </c>
      <c r="B253" s="109" t="s">
        <v>522</v>
      </c>
      <c r="C253" s="109" t="s">
        <v>523</v>
      </c>
      <c r="D253" s="109" t="s">
        <v>457</v>
      </c>
      <c r="E253" s="109" t="s">
        <v>407</v>
      </c>
      <c r="F253" s="17">
        <v>51060803</v>
      </c>
      <c r="G253" t="s">
        <v>32</v>
      </c>
      <c r="H253">
        <f t="shared" si="7"/>
        <v>3.5259999999999998</v>
      </c>
      <c r="I253" s="17">
        <f t="shared" si="8"/>
        <v>14481.226035167329</v>
      </c>
    </row>
    <row r="254" spans="1:9" x14ac:dyDescent="0.2">
      <c r="A254" s="109" t="s">
        <v>403</v>
      </c>
      <c r="B254" s="109" t="s">
        <v>522</v>
      </c>
      <c r="C254" s="109" t="s">
        <v>523</v>
      </c>
      <c r="D254" s="109" t="s">
        <v>410</v>
      </c>
      <c r="E254" s="109" t="s">
        <v>407</v>
      </c>
      <c r="F254" s="17">
        <v>2337340</v>
      </c>
      <c r="G254" t="s">
        <v>32</v>
      </c>
      <c r="H254">
        <f t="shared" si="7"/>
        <v>3.5259999999999998</v>
      </c>
      <c r="I254" s="17">
        <f t="shared" si="8"/>
        <v>662.88712422007939</v>
      </c>
    </row>
    <row r="255" spans="1:9" x14ac:dyDescent="0.2">
      <c r="A255" s="109" t="s">
        <v>403</v>
      </c>
      <c r="B255" s="109" t="s">
        <v>524</v>
      </c>
      <c r="C255" s="109" t="s">
        <v>525</v>
      </c>
      <c r="D255" s="109" t="s">
        <v>408</v>
      </c>
      <c r="E255" s="109" t="s">
        <v>407</v>
      </c>
      <c r="F255" s="17">
        <v>6222906</v>
      </c>
      <c r="G255" t="s">
        <v>574</v>
      </c>
      <c r="H255">
        <f t="shared" si="7"/>
        <v>2.4283174999999999</v>
      </c>
      <c r="I255" s="17">
        <f t="shared" si="8"/>
        <v>2562.6410055521983</v>
      </c>
    </row>
    <row r="256" spans="1:9" x14ac:dyDescent="0.2">
      <c r="A256" s="109" t="s">
        <v>403</v>
      </c>
      <c r="B256" s="109" t="s">
        <v>524</v>
      </c>
      <c r="C256" s="109" t="s">
        <v>525</v>
      </c>
      <c r="D256" s="109" t="s">
        <v>409</v>
      </c>
      <c r="E256" s="109" t="s">
        <v>407</v>
      </c>
      <c r="F256" s="17">
        <v>23570638</v>
      </c>
      <c r="G256" t="s">
        <v>574</v>
      </c>
      <c r="H256">
        <f t="shared" si="7"/>
        <v>2.4283174999999999</v>
      </c>
      <c r="I256" s="17">
        <f t="shared" si="8"/>
        <v>9706.5717312501347</v>
      </c>
    </row>
    <row r="257" spans="1:9" x14ac:dyDescent="0.2">
      <c r="A257" s="109" t="s">
        <v>403</v>
      </c>
      <c r="B257" s="109" t="s">
        <v>524</v>
      </c>
      <c r="C257" s="109" t="s">
        <v>525</v>
      </c>
      <c r="D257" s="109" t="s">
        <v>410</v>
      </c>
      <c r="E257" s="109" t="s">
        <v>407</v>
      </c>
      <c r="F257" s="17">
        <v>27073</v>
      </c>
      <c r="G257" t="s">
        <v>574</v>
      </c>
      <c r="H257">
        <f t="shared" si="7"/>
        <v>2.4283174999999999</v>
      </c>
      <c r="I257" s="17">
        <f t="shared" si="8"/>
        <v>11.148871595250622</v>
      </c>
    </row>
    <row r="258" spans="1:9" x14ac:dyDescent="0.2">
      <c r="A258" s="109" t="s">
        <v>403</v>
      </c>
      <c r="B258" s="109" t="s">
        <v>526</v>
      </c>
      <c r="C258" s="109" t="s">
        <v>527</v>
      </c>
      <c r="D258" s="109" t="s">
        <v>408</v>
      </c>
      <c r="E258" s="109" t="s">
        <v>407</v>
      </c>
      <c r="F258" s="17">
        <v>203904408</v>
      </c>
      <c r="G258" t="s">
        <v>2</v>
      </c>
      <c r="H258">
        <f t="shared" si="7"/>
        <v>2.0420699999999998</v>
      </c>
      <c r="I258" s="17">
        <f t="shared" si="8"/>
        <v>99851.820946392647</v>
      </c>
    </row>
    <row r="259" spans="1:9" x14ac:dyDescent="0.2">
      <c r="A259" s="109" t="s">
        <v>403</v>
      </c>
      <c r="B259" s="109" t="s">
        <v>526</v>
      </c>
      <c r="C259" s="109" t="s">
        <v>527</v>
      </c>
      <c r="D259" s="109" t="s">
        <v>409</v>
      </c>
      <c r="E259" s="109" t="s">
        <v>407</v>
      </c>
      <c r="F259" s="17">
        <v>529927882</v>
      </c>
      <c r="G259" t="s">
        <v>2</v>
      </c>
      <c r="H259">
        <f t="shared" si="7"/>
        <v>2.0420699999999998</v>
      </c>
      <c r="I259" s="17">
        <f t="shared" si="8"/>
        <v>259505.24810608846</v>
      </c>
    </row>
    <row r="260" spans="1:9" x14ac:dyDescent="0.2">
      <c r="A260" s="109" t="s">
        <v>403</v>
      </c>
      <c r="B260" s="109" t="s">
        <v>528</v>
      </c>
      <c r="C260" s="109" t="s">
        <v>529</v>
      </c>
      <c r="D260" s="109" t="s">
        <v>408</v>
      </c>
      <c r="E260" s="109" t="s">
        <v>407</v>
      </c>
      <c r="F260" s="17">
        <v>11261994</v>
      </c>
      <c r="G260" t="s">
        <v>2</v>
      </c>
      <c r="H260">
        <f t="shared" si="7"/>
        <v>2.0420699999999998</v>
      </c>
      <c r="I260" s="17">
        <f t="shared" si="8"/>
        <v>5514.9892021331307</v>
      </c>
    </row>
    <row r="261" spans="1:9" x14ac:dyDescent="0.2">
      <c r="A261" s="109" t="s">
        <v>403</v>
      </c>
      <c r="B261" s="109" t="s">
        <v>528</v>
      </c>
      <c r="C261" s="109" t="s">
        <v>529</v>
      </c>
      <c r="D261" s="109" t="s">
        <v>409</v>
      </c>
      <c r="E261" s="109" t="s">
        <v>407</v>
      </c>
      <c r="F261" s="17">
        <v>210820273</v>
      </c>
      <c r="G261" t="s">
        <v>2</v>
      </c>
      <c r="H261">
        <f t="shared" si="7"/>
        <v>2.0420699999999998</v>
      </c>
      <c r="I261" s="17">
        <f t="shared" si="8"/>
        <v>103238.51435063442</v>
      </c>
    </row>
    <row r="262" spans="1:9" x14ac:dyDescent="0.2">
      <c r="A262" s="109" t="s">
        <v>403</v>
      </c>
      <c r="B262" s="109" t="s">
        <v>528</v>
      </c>
      <c r="C262" s="109" t="s">
        <v>529</v>
      </c>
      <c r="D262" s="109" t="s">
        <v>410</v>
      </c>
      <c r="E262" s="109" t="s">
        <v>407</v>
      </c>
      <c r="F262" s="17">
        <v>30000</v>
      </c>
      <c r="G262" t="s">
        <v>2</v>
      </c>
      <c r="H262">
        <f t="shared" si="7"/>
        <v>2.0420699999999998</v>
      </c>
      <c r="I262" s="17">
        <f t="shared" si="8"/>
        <v>14.690975333852416</v>
      </c>
    </row>
    <row r="263" spans="1:9" x14ac:dyDescent="0.2">
      <c r="A263" s="109" t="s">
        <v>403</v>
      </c>
      <c r="B263" s="109" t="s">
        <v>530</v>
      </c>
      <c r="C263" s="109" t="s">
        <v>531</v>
      </c>
      <c r="D263" s="109" t="s">
        <v>406</v>
      </c>
      <c r="E263" s="109" t="s">
        <v>407</v>
      </c>
      <c r="F263" s="17">
        <v>0</v>
      </c>
      <c r="G263" t="s">
        <v>2</v>
      </c>
      <c r="H263">
        <f t="shared" si="7"/>
        <v>2.0420699999999998</v>
      </c>
      <c r="I263" s="17">
        <f t="shared" si="8"/>
        <v>0</v>
      </c>
    </row>
    <row r="264" spans="1:9" x14ac:dyDescent="0.2">
      <c r="A264" s="109" t="s">
        <v>403</v>
      </c>
      <c r="B264" s="109" t="s">
        <v>530</v>
      </c>
      <c r="C264" s="109" t="s">
        <v>531</v>
      </c>
      <c r="D264" s="109" t="s">
        <v>408</v>
      </c>
      <c r="E264" s="109" t="s">
        <v>407</v>
      </c>
      <c r="F264" s="17">
        <v>10653727</v>
      </c>
      <c r="G264" t="s">
        <v>2</v>
      </c>
      <c r="H264">
        <f t="shared" si="7"/>
        <v>2.0420699999999998</v>
      </c>
      <c r="I264" s="17">
        <f t="shared" si="8"/>
        <v>5217.1213523532497</v>
      </c>
    </row>
    <row r="265" spans="1:9" x14ac:dyDescent="0.2">
      <c r="A265" s="109" t="s">
        <v>403</v>
      </c>
      <c r="B265" s="109" t="s">
        <v>530</v>
      </c>
      <c r="C265" s="109" t="s">
        <v>531</v>
      </c>
      <c r="D265" s="109" t="s">
        <v>409</v>
      </c>
      <c r="E265" s="109" t="s">
        <v>407</v>
      </c>
      <c r="F265" s="17">
        <v>123621786</v>
      </c>
      <c r="G265" t="s">
        <v>2</v>
      </c>
      <c r="H265">
        <f t="shared" si="7"/>
        <v>2.0420699999999998</v>
      </c>
      <c r="I265" s="17">
        <f t="shared" si="8"/>
        <v>60537.486961759394</v>
      </c>
    </row>
    <row r="266" spans="1:9" x14ac:dyDescent="0.2">
      <c r="A266" s="109" t="s">
        <v>403</v>
      </c>
      <c r="B266" s="109" t="s">
        <v>532</v>
      </c>
      <c r="C266" s="109" t="s">
        <v>533</v>
      </c>
      <c r="D266" s="109" t="s">
        <v>406</v>
      </c>
      <c r="E266" s="109" t="s">
        <v>407</v>
      </c>
      <c r="F266" s="17">
        <v>0</v>
      </c>
      <c r="G266" t="s">
        <v>2</v>
      </c>
      <c r="H266">
        <f t="shared" si="7"/>
        <v>2.0420699999999998</v>
      </c>
      <c r="I266" s="17">
        <f t="shared" si="8"/>
        <v>0</v>
      </c>
    </row>
    <row r="267" spans="1:9" x14ac:dyDescent="0.2">
      <c r="A267" s="109" t="s">
        <v>403</v>
      </c>
      <c r="B267" s="109" t="s">
        <v>532</v>
      </c>
      <c r="C267" s="109" t="s">
        <v>533</v>
      </c>
      <c r="D267" s="109" t="s">
        <v>408</v>
      </c>
      <c r="E267" s="109" t="s">
        <v>407</v>
      </c>
      <c r="F267" s="17">
        <v>4752820</v>
      </c>
      <c r="G267" t="s">
        <v>2</v>
      </c>
      <c r="H267">
        <f t="shared" si="7"/>
        <v>2.0420699999999998</v>
      </c>
      <c r="I267" s="17">
        <f t="shared" si="8"/>
        <v>2327.452046208015</v>
      </c>
    </row>
    <row r="268" spans="1:9" x14ac:dyDescent="0.2">
      <c r="A268" s="109" t="s">
        <v>403</v>
      </c>
      <c r="B268" s="109" t="s">
        <v>532</v>
      </c>
      <c r="C268" s="109" t="s">
        <v>533</v>
      </c>
      <c r="D268" s="109" t="s">
        <v>409</v>
      </c>
      <c r="E268" s="109" t="s">
        <v>407</v>
      </c>
      <c r="F268" s="17">
        <v>97814340</v>
      </c>
      <c r="G268" t="s">
        <v>2</v>
      </c>
      <c r="H268">
        <f t="shared" si="7"/>
        <v>2.0420699999999998</v>
      </c>
      <c r="I268" s="17">
        <f t="shared" si="8"/>
        <v>47899.601874568456</v>
      </c>
    </row>
    <row r="269" spans="1:9" x14ac:dyDescent="0.2">
      <c r="A269" s="109" t="s">
        <v>403</v>
      </c>
      <c r="B269" s="109" t="s">
        <v>532</v>
      </c>
      <c r="C269" s="109" t="s">
        <v>533</v>
      </c>
      <c r="D269" s="109" t="s">
        <v>410</v>
      </c>
      <c r="E269" s="109" t="s">
        <v>407</v>
      </c>
      <c r="F269" s="17">
        <v>111900</v>
      </c>
      <c r="G269" t="s">
        <v>2</v>
      </c>
      <c r="H269">
        <f t="shared" si="7"/>
        <v>2.0420699999999998</v>
      </c>
      <c r="I269" s="17">
        <f t="shared" si="8"/>
        <v>54.797337995269508</v>
      </c>
    </row>
    <row r="270" spans="1:9" x14ac:dyDescent="0.2">
      <c r="A270" s="109" t="s">
        <v>403</v>
      </c>
      <c r="B270" s="109" t="s">
        <v>532</v>
      </c>
      <c r="C270" s="109" t="s">
        <v>533</v>
      </c>
      <c r="D270" s="109" t="s">
        <v>415</v>
      </c>
      <c r="E270" s="109" t="s">
        <v>407</v>
      </c>
      <c r="F270" s="17">
        <v>273</v>
      </c>
      <c r="G270" t="s">
        <v>2</v>
      </c>
      <c r="H270">
        <f t="shared" si="7"/>
        <v>2.0420699999999998</v>
      </c>
      <c r="I270" s="17">
        <f t="shared" si="8"/>
        <v>0.13368787553805697</v>
      </c>
    </row>
    <row r="271" spans="1:9" x14ac:dyDescent="0.2">
      <c r="A271" s="109" t="s">
        <v>403</v>
      </c>
      <c r="B271" s="109" t="s">
        <v>534</v>
      </c>
      <c r="C271" s="109" t="s">
        <v>535</v>
      </c>
      <c r="D271" s="109" t="s">
        <v>406</v>
      </c>
      <c r="E271" s="109" t="s">
        <v>407</v>
      </c>
      <c r="F271" s="17">
        <v>0</v>
      </c>
      <c r="G271" t="s">
        <v>574</v>
      </c>
      <c r="H271">
        <f t="shared" si="7"/>
        <v>2.4283174999999999</v>
      </c>
      <c r="I271" s="17">
        <f t="shared" si="8"/>
        <v>0</v>
      </c>
    </row>
    <row r="272" spans="1:9" x14ac:dyDescent="0.2">
      <c r="A272" s="109" t="s">
        <v>403</v>
      </c>
      <c r="B272" s="109" t="s">
        <v>534</v>
      </c>
      <c r="C272" s="109" t="s">
        <v>535</v>
      </c>
      <c r="D272" s="109" t="s">
        <v>408</v>
      </c>
      <c r="E272" s="109" t="s">
        <v>407</v>
      </c>
      <c r="F272" s="17">
        <v>4656725</v>
      </c>
      <c r="G272" t="s">
        <v>574</v>
      </c>
      <c r="H272">
        <f t="shared" si="7"/>
        <v>2.4283174999999999</v>
      </c>
      <c r="I272" s="17">
        <f t="shared" si="8"/>
        <v>1917.675509895226</v>
      </c>
    </row>
    <row r="273" spans="1:9" x14ac:dyDescent="0.2">
      <c r="A273" s="109" t="s">
        <v>403</v>
      </c>
      <c r="B273" s="109" t="s">
        <v>534</v>
      </c>
      <c r="C273" s="109" t="s">
        <v>535</v>
      </c>
      <c r="D273" s="109" t="s">
        <v>409</v>
      </c>
      <c r="E273" s="109" t="s">
        <v>407</v>
      </c>
      <c r="F273" s="17">
        <v>8275789</v>
      </c>
      <c r="G273" t="s">
        <v>574</v>
      </c>
      <c r="H273">
        <f t="shared" si="7"/>
        <v>2.4283174999999999</v>
      </c>
      <c r="I273" s="17">
        <f t="shared" si="8"/>
        <v>3408.0341635721034</v>
      </c>
    </row>
    <row r="274" spans="1:9" x14ac:dyDescent="0.2">
      <c r="A274" s="109" t="s">
        <v>403</v>
      </c>
      <c r="B274" s="109" t="s">
        <v>534</v>
      </c>
      <c r="C274" s="109" t="s">
        <v>535</v>
      </c>
      <c r="D274" s="109" t="s">
        <v>410</v>
      </c>
      <c r="E274" s="109" t="s">
        <v>407</v>
      </c>
      <c r="F274" s="17">
        <v>449970</v>
      </c>
      <c r="G274" t="s">
        <v>574</v>
      </c>
      <c r="H274">
        <f t="shared" si="7"/>
        <v>2.4283174999999999</v>
      </c>
      <c r="I274" s="17">
        <f t="shared" si="8"/>
        <v>185.30113957503499</v>
      </c>
    </row>
    <row r="275" spans="1:9" x14ac:dyDescent="0.2">
      <c r="A275" s="109" t="s">
        <v>403</v>
      </c>
      <c r="B275" s="109" t="s">
        <v>536</v>
      </c>
      <c r="C275" s="109" t="s">
        <v>537</v>
      </c>
      <c r="D275" s="109" t="s">
        <v>424</v>
      </c>
      <c r="E275" s="109" t="s">
        <v>407</v>
      </c>
      <c r="F275" s="17">
        <v>4893395</v>
      </c>
      <c r="G275" t="s">
        <v>574</v>
      </c>
      <c r="H275">
        <f t="shared" si="7"/>
        <v>2.4283174999999999</v>
      </c>
      <c r="I275" s="17">
        <f t="shared" si="8"/>
        <v>2015.1380534052901</v>
      </c>
    </row>
    <row r="276" spans="1:9" x14ac:dyDescent="0.2">
      <c r="A276" s="109" t="s">
        <v>403</v>
      </c>
      <c r="B276" s="109" t="s">
        <v>536</v>
      </c>
      <c r="C276" s="109" t="s">
        <v>537</v>
      </c>
      <c r="D276" s="109" t="s">
        <v>410</v>
      </c>
      <c r="E276" s="109" t="s">
        <v>407</v>
      </c>
      <c r="F276" s="17">
        <v>579492</v>
      </c>
      <c r="G276" t="s">
        <v>574</v>
      </c>
      <c r="H276">
        <f t="shared" si="7"/>
        <v>2.4283174999999999</v>
      </c>
      <c r="I276" s="17">
        <f t="shared" si="8"/>
        <v>238.63930478613281</v>
      </c>
    </row>
    <row r="277" spans="1:9" x14ac:dyDescent="0.2">
      <c r="A277" s="109" t="s">
        <v>403</v>
      </c>
      <c r="B277" s="109" t="s">
        <v>538</v>
      </c>
      <c r="C277" s="109" t="s">
        <v>539</v>
      </c>
      <c r="D277" s="109" t="s">
        <v>408</v>
      </c>
      <c r="E277" s="109" t="s">
        <v>407</v>
      </c>
      <c r="F277" s="17">
        <v>3757563</v>
      </c>
      <c r="G277" t="s">
        <v>574</v>
      </c>
      <c r="H277">
        <f t="shared" si="7"/>
        <v>2.4283174999999999</v>
      </c>
      <c r="I277" s="17">
        <f t="shared" si="8"/>
        <v>1547.3936171855617</v>
      </c>
    </row>
    <row r="278" spans="1:9" x14ac:dyDescent="0.2">
      <c r="A278" s="109" t="s">
        <v>403</v>
      </c>
      <c r="B278" s="109" t="s">
        <v>538</v>
      </c>
      <c r="C278" s="109" t="s">
        <v>539</v>
      </c>
      <c r="D278" s="109" t="s">
        <v>409</v>
      </c>
      <c r="E278" s="109" t="s">
        <v>407</v>
      </c>
      <c r="F278" s="17">
        <v>969220</v>
      </c>
      <c r="G278" t="s">
        <v>574</v>
      </c>
      <c r="H278">
        <f t="shared" si="7"/>
        <v>2.4283174999999999</v>
      </c>
      <c r="I278" s="17">
        <f t="shared" si="8"/>
        <v>399.13232104121477</v>
      </c>
    </row>
    <row r="279" spans="1:9" x14ac:dyDescent="0.2">
      <c r="A279" s="109" t="s">
        <v>403</v>
      </c>
      <c r="B279" s="109" t="s">
        <v>538</v>
      </c>
      <c r="C279" s="109" t="s">
        <v>539</v>
      </c>
      <c r="D279" s="109" t="s">
        <v>410</v>
      </c>
      <c r="E279" s="109" t="s">
        <v>407</v>
      </c>
      <c r="F279" s="17">
        <v>3788</v>
      </c>
      <c r="G279" t="s">
        <v>574</v>
      </c>
      <c r="H279">
        <f t="shared" ref="H279:H342" si="9">INDEX($B$366:$B$379,MATCH($G279,$A$366:$A$379,0),1)</f>
        <v>2.4283174999999999</v>
      </c>
      <c r="I279" s="17">
        <f t="shared" ref="I279:I342" si="10">F279/H279*10^-3</f>
        <v>1.5599278100989677</v>
      </c>
    </row>
    <row r="280" spans="1:9" x14ac:dyDescent="0.2">
      <c r="A280" s="109" t="s">
        <v>403</v>
      </c>
      <c r="B280" s="109" t="s">
        <v>540</v>
      </c>
      <c r="C280" s="109" t="s">
        <v>541</v>
      </c>
      <c r="D280" s="109" t="s">
        <v>406</v>
      </c>
      <c r="E280" s="109" t="s">
        <v>407</v>
      </c>
      <c r="F280" s="17">
        <v>0</v>
      </c>
      <c r="G280" t="s">
        <v>574</v>
      </c>
      <c r="H280">
        <f t="shared" si="9"/>
        <v>2.4283174999999999</v>
      </c>
      <c r="I280" s="17">
        <f t="shared" si="10"/>
        <v>0</v>
      </c>
    </row>
    <row r="281" spans="1:9" x14ac:dyDescent="0.2">
      <c r="A281" s="109" t="s">
        <v>403</v>
      </c>
      <c r="B281" s="109" t="s">
        <v>540</v>
      </c>
      <c r="C281" s="109" t="s">
        <v>541</v>
      </c>
      <c r="D281" s="109" t="s">
        <v>408</v>
      </c>
      <c r="E281" s="109" t="s">
        <v>407</v>
      </c>
      <c r="F281" s="17">
        <v>68039135</v>
      </c>
      <c r="G281" t="s">
        <v>574</v>
      </c>
      <c r="H281">
        <f t="shared" si="9"/>
        <v>2.4283174999999999</v>
      </c>
      <c r="I281" s="17">
        <f t="shared" si="10"/>
        <v>28019.044050046999</v>
      </c>
    </row>
    <row r="282" spans="1:9" x14ac:dyDescent="0.2">
      <c r="A282" s="109" t="s">
        <v>403</v>
      </c>
      <c r="B282" s="109" t="s">
        <v>540</v>
      </c>
      <c r="C282" s="109" t="s">
        <v>541</v>
      </c>
      <c r="D282" s="109" t="s">
        <v>409</v>
      </c>
      <c r="E282" s="109" t="s">
        <v>407</v>
      </c>
      <c r="F282" s="17">
        <v>22417202</v>
      </c>
      <c r="G282" t="s">
        <v>574</v>
      </c>
      <c r="H282">
        <f t="shared" si="9"/>
        <v>2.4283174999999999</v>
      </c>
      <c r="I282" s="17">
        <f t="shared" si="10"/>
        <v>9231.577831152641</v>
      </c>
    </row>
    <row r="283" spans="1:9" x14ac:dyDescent="0.2">
      <c r="A283" s="109" t="s">
        <v>403</v>
      </c>
      <c r="B283" s="109" t="s">
        <v>540</v>
      </c>
      <c r="C283" s="109" t="s">
        <v>541</v>
      </c>
      <c r="D283" s="109" t="s">
        <v>410</v>
      </c>
      <c r="E283" s="109" t="s">
        <v>407</v>
      </c>
      <c r="F283" s="17">
        <v>128060</v>
      </c>
      <c r="G283" t="s">
        <v>574</v>
      </c>
      <c r="H283">
        <f t="shared" si="9"/>
        <v>2.4283174999999999</v>
      </c>
      <c r="I283" s="17">
        <f t="shared" si="10"/>
        <v>52.736102260103969</v>
      </c>
    </row>
    <row r="284" spans="1:9" x14ac:dyDescent="0.2">
      <c r="A284" s="109" t="s">
        <v>403</v>
      </c>
      <c r="B284" s="109" t="s">
        <v>542</v>
      </c>
      <c r="C284" s="109" t="s">
        <v>543</v>
      </c>
      <c r="D284" s="109" t="s">
        <v>424</v>
      </c>
      <c r="E284" s="109" t="s">
        <v>407</v>
      </c>
      <c r="F284" s="17">
        <v>1065406</v>
      </c>
      <c r="G284" t="s">
        <v>574</v>
      </c>
      <c r="H284">
        <f t="shared" si="9"/>
        <v>2.4283174999999999</v>
      </c>
      <c r="I284" s="17">
        <f t="shared" si="10"/>
        <v>438.74246263101924</v>
      </c>
    </row>
    <row r="285" spans="1:9" x14ac:dyDescent="0.2">
      <c r="A285" s="109" t="s">
        <v>403</v>
      </c>
      <c r="B285" s="109" t="s">
        <v>542</v>
      </c>
      <c r="C285" s="109" t="s">
        <v>543</v>
      </c>
      <c r="D285" s="109" t="s">
        <v>408</v>
      </c>
      <c r="E285" s="109" t="s">
        <v>407</v>
      </c>
      <c r="F285" s="17">
        <v>98444</v>
      </c>
      <c r="G285" t="s">
        <v>574</v>
      </c>
      <c r="H285">
        <f t="shared" si="9"/>
        <v>2.4283174999999999</v>
      </c>
      <c r="I285" s="17">
        <f t="shared" si="10"/>
        <v>40.54000352095639</v>
      </c>
    </row>
    <row r="286" spans="1:9" x14ac:dyDescent="0.2">
      <c r="A286" s="109" t="s">
        <v>403</v>
      </c>
      <c r="B286" s="109" t="s">
        <v>542</v>
      </c>
      <c r="C286" s="109" t="s">
        <v>543</v>
      </c>
      <c r="D286" s="109" t="s">
        <v>409</v>
      </c>
      <c r="E286" s="109" t="s">
        <v>407</v>
      </c>
      <c r="F286" s="17">
        <v>3522294</v>
      </c>
      <c r="G286" t="s">
        <v>574</v>
      </c>
      <c r="H286">
        <f t="shared" si="9"/>
        <v>2.4283174999999999</v>
      </c>
      <c r="I286" s="17">
        <f t="shared" si="10"/>
        <v>1450.5080163528864</v>
      </c>
    </row>
    <row r="287" spans="1:9" x14ac:dyDescent="0.2">
      <c r="A287" s="109" t="s">
        <v>403</v>
      </c>
      <c r="B287" s="109" t="s">
        <v>542</v>
      </c>
      <c r="C287" s="109" t="s">
        <v>543</v>
      </c>
      <c r="D287" s="109" t="s">
        <v>410</v>
      </c>
      <c r="E287" s="109" t="s">
        <v>407</v>
      </c>
      <c r="F287" s="17">
        <v>59737</v>
      </c>
      <c r="G287" t="s">
        <v>574</v>
      </c>
      <c r="H287">
        <f t="shared" si="9"/>
        <v>2.4283174999999999</v>
      </c>
      <c r="I287" s="17">
        <f t="shared" si="10"/>
        <v>24.600160399124086</v>
      </c>
    </row>
    <row r="288" spans="1:9" x14ac:dyDescent="0.2">
      <c r="A288" s="109" t="s">
        <v>403</v>
      </c>
      <c r="B288" s="109" t="s">
        <v>544</v>
      </c>
      <c r="C288" s="109" t="s">
        <v>545</v>
      </c>
      <c r="D288" s="109" t="s">
        <v>406</v>
      </c>
      <c r="E288" s="109" t="s">
        <v>407</v>
      </c>
      <c r="F288" s="17">
        <v>0</v>
      </c>
      <c r="G288" t="s">
        <v>574</v>
      </c>
      <c r="H288">
        <f t="shared" si="9"/>
        <v>2.4283174999999999</v>
      </c>
      <c r="I288" s="17">
        <f t="shared" si="10"/>
        <v>0</v>
      </c>
    </row>
    <row r="289" spans="1:9" x14ac:dyDescent="0.2">
      <c r="A289" s="109" t="s">
        <v>403</v>
      </c>
      <c r="B289" s="109" t="s">
        <v>544</v>
      </c>
      <c r="C289" s="109" t="s">
        <v>545</v>
      </c>
      <c r="D289" s="109" t="s">
        <v>469</v>
      </c>
      <c r="E289" s="109" t="s">
        <v>407</v>
      </c>
      <c r="F289" s="17">
        <v>2563</v>
      </c>
      <c r="G289" t="s">
        <v>574</v>
      </c>
      <c r="H289">
        <f t="shared" si="9"/>
        <v>2.4283174999999999</v>
      </c>
      <c r="I289" s="17">
        <f t="shared" si="10"/>
        <v>1.055463299177311</v>
      </c>
    </row>
    <row r="290" spans="1:9" x14ac:dyDescent="0.2">
      <c r="A290" s="109" t="s">
        <v>403</v>
      </c>
      <c r="B290" s="109" t="s">
        <v>544</v>
      </c>
      <c r="C290" s="109" t="s">
        <v>545</v>
      </c>
      <c r="D290" s="109" t="s">
        <v>408</v>
      </c>
      <c r="E290" s="109" t="s">
        <v>407</v>
      </c>
      <c r="F290" s="17">
        <v>8730339</v>
      </c>
      <c r="G290" t="s">
        <v>574</v>
      </c>
      <c r="H290">
        <f t="shared" si="9"/>
        <v>2.4283174999999999</v>
      </c>
      <c r="I290" s="17">
        <f t="shared" si="10"/>
        <v>3595.2213827063392</v>
      </c>
    </row>
    <row r="291" spans="1:9" x14ac:dyDescent="0.2">
      <c r="A291" s="109" t="s">
        <v>403</v>
      </c>
      <c r="B291" s="109" t="s">
        <v>544</v>
      </c>
      <c r="C291" s="109" t="s">
        <v>545</v>
      </c>
      <c r="D291" s="109" t="s">
        <v>409</v>
      </c>
      <c r="E291" s="109" t="s">
        <v>407</v>
      </c>
      <c r="F291" s="17">
        <v>87402307</v>
      </c>
      <c r="G291" t="s">
        <v>574</v>
      </c>
      <c r="H291">
        <f t="shared" si="9"/>
        <v>2.4283174999999999</v>
      </c>
      <c r="I291" s="17">
        <f t="shared" si="10"/>
        <v>35992.948615656729</v>
      </c>
    </row>
    <row r="292" spans="1:9" x14ac:dyDescent="0.2">
      <c r="A292" s="109" t="s">
        <v>403</v>
      </c>
      <c r="B292" s="109" t="s">
        <v>544</v>
      </c>
      <c r="C292" s="109" t="s">
        <v>545</v>
      </c>
      <c r="D292" s="109" t="s">
        <v>457</v>
      </c>
      <c r="E292" s="109" t="s">
        <v>407</v>
      </c>
      <c r="F292" s="17">
        <v>15979176</v>
      </c>
      <c r="G292" t="s">
        <v>574</v>
      </c>
      <c r="H292">
        <f t="shared" si="9"/>
        <v>2.4283174999999999</v>
      </c>
      <c r="I292" s="17">
        <f t="shared" si="10"/>
        <v>6580.3487394049589</v>
      </c>
    </row>
    <row r="293" spans="1:9" x14ac:dyDescent="0.2">
      <c r="A293" s="109" t="s">
        <v>403</v>
      </c>
      <c r="B293" s="109" t="s">
        <v>544</v>
      </c>
      <c r="C293" s="109" t="s">
        <v>545</v>
      </c>
      <c r="D293" s="109" t="s">
        <v>410</v>
      </c>
      <c r="E293" s="109" t="s">
        <v>407</v>
      </c>
      <c r="F293" s="17">
        <v>4512821</v>
      </c>
      <c r="G293" t="s">
        <v>574</v>
      </c>
      <c r="H293">
        <f t="shared" si="9"/>
        <v>2.4283174999999999</v>
      </c>
      <c r="I293" s="17">
        <f t="shared" si="10"/>
        <v>1858.4147254220259</v>
      </c>
    </row>
    <row r="294" spans="1:9" x14ac:dyDescent="0.2">
      <c r="A294" s="109" t="s">
        <v>403</v>
      </c>
      <c r="B294" s="109" t="s">
        <v>544</v>
      </c>
      <c r="C294" s="109" t="s">
        <v>545</v>
      </c>
      <c r="D294" s="109" t="s">
        <v>415</v>
      </c>
      <c r="E294" s="109" t="s">
        <v>407</v>
      </c>
      <c r="F294" s="17">
        <v>27500</v>
      </c>
      <c r="G294" t="s">
        <v>574</v>
      </c>
      <c r="H294">
        <f t="shared" si="9"/>
        <v>2.4283174999999999</v>
      </c>
      <c r="I294" s="17">
        <f t="shared" si="10"/>
        <v>11.32471351048617</v>
      </c>
    </row>
    <row r="295" spans="1:9" x14ac:dyDescent="0.2">
      <c r="A295" s="109" t="s">
        <v>403</v>
      </c>
      <c r="B295" s="109" t="s">
        <v>546</v>
      </c>
      <c r="C295" s="109" t="s">
        <v>547</v>
      </c>
      <c r="D295" s="109" t="s">
        <v>406</v>
      </c>
      <c r="E295" s="109" t="s">
        <v>407</v>
      </c>
      <c r="F295" s="17">
        <v>0</v>
      </c>
      <c r="G295" t="s">
        <v>574</v>
      </c>
      <c r="H295">
        <f t="shared" si="9"/>
        <v>2.4283174999999999</v>
      </c>
      <c r="I295" s="17">
        <f t="shared" si="10"/>
        <v>0</v>
      </c>
    </row>
    <row r="296" spans="1:9" x14ac:dyDescent="0.2">
      <c r="A296" s="109" t="s">
        <v>403</v>
      </c>
      <c r="B296" s="109" t="s">
        <v>546</v>
      </c>
      <c r="C296" s="109" t="s">
        <v>547</v>
      </c>
      <c r="D296" s="109" t="s">
        <v>424</v>
      </c>
      <c r="E296" s="109" t="s">
        <v>407</v>
      </c>
      <c r="F296" s="17">
        <v>5400</v>
      </c>
      <c r="G296" t="s">
        <v>574</v>
      </c>
      <c r="H296">
        <f t="shared" si="9"/>
        <v>2.4283174999999999</v>
      </c>
      <c r="I296" s="17">
        <f t="shared" si="10"/>
        <v>2.2237619256954662</v>
      </c>
    </row>
    <row r="297" spans="1:9" x14ac:dyDescent="0.2">
      <c r="A297" s="109" t="s">
        <v>403</v>
      </c>
      <c r="B297" s="109" t="s">
        <v>546</v>
      </c>
      <c r="C297" s="109" t="s">
        <v>547</v>
      </c>
      <c r="D297" s="109" t="s">
        <v>408</v>
      </c>
      <c r="E297" s="109" t="s">
        <v>407</v>
      </c>
      <c r="F297" s="17">
        <v>91339068</v>
      </c>
      <c r="G297" t="s">
        <v>574</v>
      </c>
      <c r="H297">
        <f t="shared" si="9"/>
        <v>2.4283174999999999</v>
      </c>
      <c r="I297" s="17">
        <f t="shared" si="10"/>
        <v>37614.137360538727</v>
      </c>
    </row>
    <row r="298" spans="1:9" x14ac:dyDescent="0.2">
      <c r="A298" s="109" t="s">
        <v>403</v>
      </c>
      <c r="B298" s="109" t="s">
        <v>546</v>
      </c>
      <c r="C298" s="109" t="s">
        <v>547</v>
      </c>
      <c r="D298" s="109" t="s">
        <v>431</v>
      </c>
      <c r="E298" s="109" t="s">
        <v>407</v>
      </c>
      <c r="F298" s="17">
        <v>7254904</v>
      </c>
      <c r="G298" t="s">
        <v>574</v>
      </c>
      <c r="H298">
        <f t="shared" si="9"/>
        <v>2.4283174999999999</v>
      </c>
      <c r="I298" s="17">
        <f t="shared" si="10"/>
        <v>2987.6257944029153</v>
      </c>
    </row>
    <row r="299" spans="1:9" x14ac:dyDescent="0.2">
      <c r="A299" s="109" t="s">
        <v>403</v>
      </c>
      <c r="B299" s="109" t="s">
        <v>546</v>
      </c>
      <c r="C299" s="109" t="s">
        <v>547</v>
      </c>
      <c r="D299" s="109" t="s">
        <v>409</v>
      </c>
      <c r="E299" s="109" t="s">
        <v>407</v>
      </c>
      <c r="F299" s="17">
        <v>207098048</v>
      </c>
      <c r="G299" t="s">
        <v>574</v>
      </c>
      <c r="H299">
        <f t="shared" si="9"/>
        <v>2.4283174999999999</v>
      </c>
      <c r="I299" s="17">
        <f t="shared" si="10"/>
        <v>85284.584079305947</v>
      </c>
    </row>
    <row r="300" spans="1:9" x14ac:dyDescent="0.2">
      <c r="A300" s="109" t="s">
        <v>403</v>
      </c>
      <c r="B300" s="109" t="s">
        <v>546</v>
      </c>
      <c r="C300" s="109" t="s">
        <v>547</v>
      </c>
      <c r="D300" s="109" t="s">
        <v>457</v>
      </c>
      <c r="E300" s="109" t="s">
        <v>407</v>
      </c>
      <c r="F300" s="17">
        <v>12055476</v>
      </c>
      <c r="G300" t="s">
        <v>574</v>
      </c>
      <c r="H300">
        <f t="shared" si="9"/>
        <v>2.4283174999999999</v>
      </c>
      <c r="I300" s="17">
        <f t="shared" si="10"/>
        <v>4964.5386157287921</v>
      </c>
    </row>
    <row r="301" spans="1:9" x14ac:dyDescent="0.2">
      <c r="A301" s="109" t="s">
        <v>403</v>
      </c>
      <c r="B301" s="109" t="s">
        <v>546</v>
      </c>
      <c r="C301" s="109" t="s">
        <v>547</v>
      </c>
      <c r="D301" s="109" t="s">
        <v>410</v>
      </c>
      <c r="E301" s="109" t="s">
        <v>407</v>
      </c>
      <c r="F301" s="17">
        <v>21862810</v>
      </c>
      <c r="G301" t="s">
        <v>574</v>
      </c>
      <c r="H301">
        <f t="shared" si="9"/>
        <v>2.4283174999999999</v>
      </c>
      <c r="I301" s="17">
        <f t="shared" si="10"/>
        <v>9003.2749012433524</v>
      </c>
    </row>
    <row r="302" spans="1:9" x14ac:dyDescent="0.2">
      <c r="A302" s="109" t="s">
        <v>403</v>
      </c>
      <c r="B302" s="109" t="s">
        <v>548</v>
      </c>
      <c r="C302" s="109" t="s">
        <v>549</v>
      </c>
      <c r="D302" s="109" t="s">
        <v>406</v>
      </c>
      <c r="E302" s="109" t="s">
        <v>407</v>
      </c>
      <c r="F302" s="17">
        <v>0</v>
      </c>
      <c r="G302" t="s">
        <v>122</v>
      </c>
      <c r="H302">
        <f t="shared" si="9"/>
        <v>4.1305800000000001</v>
      </c>
      <c r="I302" s="17">
        <f t="shared" si="10"/>
        <v>0</v>
      </c>
    </row>
    <row r="303" spans="1:9" x14ac:dyDescent="0.2">
      <c r="A303" s="109" t="s">
        <v>403</v>
      </c>
      <c r="B303" s="109" t="s">
        <v>548</v>
      </c>
      <c r="C303" s="109" t="s">
        <v>549</v>
      </c>
      <c r="D303" s="109" t="s">
        <v>408</v>
      </c>
      <c r="E303" s="109" t="s">
        <v>407</v>
      </c>
      <c r="F303" s="17">
        <v>159827100</v>
      </c>
      <c r="G303" t="s">
        <v>122</v>
      </c>
      <c r="H303">
        <f t="shared" si="9"/>
        <v>4.1305800000000001</v>
      </c>
      <c r="I303" s="17">
        <f t="shared" si="10"/>
        <v>38693.621718983777</v>
      </c>
    </row>
    <row r="304" spans="1:9" x14ac:dyDescent="0.2">
      <c r="A304" s="109" t="s">
        <v>403</v>
      </c>
      <c r="B304" s="109" t="s">
        <v>548</v>
      </c>
      <c r="C304" s="109" t="s">
        <v>549</v>
      </c>
      <c r="D304" s="109" t="s">
        <v>431</v>
      </c>
      <c r="E304" s="109" t="s">
        <v>407</v>
      </c>
      <c r="F304" s="17">
        <v>9408447</v>
      </c>
      <c r="G304" t="s">
        <v>122</v>
      </c>
      <c r="H304">
        <f t="shared" si="9"/>
        <v>4.1305800000000001</v>
      </c>
      <c r="I304" s="17">
        <f t="shared" si="10"/>
        <v>2277.7544557907122</v>
      </c>
    </row>
    <row r="305" spans="1:9" x14ac:dyDescent="0.2">
      <c r="A305" s="109" t="s">
        <v>403</v>
      </c>
      <c r="B305" s="109" t="s">
        <v>548</v>
      </c>
      <c r="C305" s="109" t="s">
        <v>549</v>
      </c>
      <c r="D305" s="109" t="s">
        <v>409</v>
      </c>
      <c r="E305" s="109" t="s">
        <v>407</v>
      </c>
      <c r="F305" s="17">
        <v>260093557</v>
      </c>
      <c r="G305" t="s">
        <v>122</v>
      </c>
      <c r="H305">
        <f t="shared" si="9"/>
        <v>4.1305800000000001</v>
      </c>
      <c r="I305" s="17">
        <f t="shared" si="10"/>
        <v>62967.80524768919</v>
      </c>
    </row>
    <row r="306" spans="1:9" x14ac:dyDescent="0.2">
      <c r="A306" s="109" t="s">
        <v>403</v>
      </c>
      <c r="B306" s="109" t="s">
        <v>548</v>
      </c>
      <c r="C306" s="109" t="s">
        <v>549</v>
      </c>
      <c r="D306" s="109" t="s">
        <v>410</v>
      </c>
      <c r="E306" s="109" t="s">
        <v>407</v>
      </c>
      <c r="F306" s="17">
        <v>3682574</v>
      </c>
      <c r="G306" t="s">
        <v>122</v>
      </c>
      <c r="H306">
        <f t="shared" si="9"/>
        <v>4.1305800000000001</v>
      </c>
      <c r="I306" s="17">
        <f t="shared" si="10"/>
        <v>891.53920272697781</v>
      </c>
    </row>
    <row r="307" spans="1:9" x14ac:dyDescent="0.2">
      <c r="A307" s="109" t="s">
        <v>403</v>
      </c>
      <c r="B307" s="109" t="s">
        <v>550</v>
      </c>
      <c r="C307" s="109" t="s">
        <v>551</v>
      </c>
      <c r="D307" s="109" t="s">
        <v>424</v>
      </c>
      <c r="E307" s="109" t="s">
        <v>407</v>
      </c>
      <c r="F307" s="17">
        <v>34759667</v>
      </c>
      <c r="G307" t="s">
        <v>573</v>
      </c>
      <c r="H307">
        <f t="shared" si="9"/>
        <v>2.4283174999999999</v>
      </c>
      <c r="I307" s="17">
        <f t="shared" si="10"/>
        <v>14314.300745269102</v>
      </c>
    </row>
    <row r="308" spans="1:9" x14ac:dyDescent="0.2">
      <c r="A308" s="109" t="s">
        <v>403</v>
      </c>
      <c r="B308" s="109" t="s">
        <v>550</v>
      </c>
      <c r="C308" s="109" t="s">
        <v>551</v>
      </c>
      <c r="D308" s="109" t="s">
        <v>410</v>
      </c>
      <c r="E308" s="109" t="s">
        <v>407</v>
      </c>
      <c r="F308" s="17">
        <v>37680</v>
      </c>
      <c r="G308" t="s">
        <v>573</v>
      </c>
      <c r="H308">
        <f t="shared" si="9"/>
        <v>2.4283174999999999</v>
      </c>
      <c r="I308" s="17">
        <f t="shared" si="10"/>
        <v>15.516916548186142</v>
      </c>
    </row>
    <row r="309" spans="1:9" x14ac:dyDescent="0.2">
      <c r="A309" s="109" t="s">
        <v>403</v>
      </c>
      <c r="B309" s="109" t="s">
        <v>552</v>
      </c>
      <c r="C309" s="109" t="s">
        <v>553</v>
      </c>
      <c r="D309" s="109" t="s">
        <v>406</v>
      </c>
      <c r="E309" s="109" t="s">
        <v>407</v>
      </c>
      <c r="F309" s="17">
        <v>0</v>
      </c>
      <c r="G309" t="s">
        <v>574</v>
      </c>
      <c r="H309">
        <f t="shared" si="9"/>
        <v>2.4283174999999999</v>
      </c>
      <c r="I309" s="17">
        <f t="shared" si="10"/>
        <v>0</v>
      </c>
    </row>
    <row r="310" spans="1:9" x14ac:dyDescent="0.2">
      <c r="A310" s="109" t="s">
        <v>403</v>
      </c>
      <c r="B310" s="109" t="s">
        <v>552</v>
      </c>
      <c r="C310" s="109" t="s">
        <v>553</v>
      </c>
      <c r="D310" s="109" t="s">
        <v>408</v>
      </c>
      <c r="E310" s="109" t="s">
        <v>407</v>
      </c>
      <c r="F310" s="17">
        <v>9007068</v>
      </c>
      <c r="G310" t="s">
        <v>574</v>
      </c>
      <c r="H310">
        <f t="shared" si="9"/>
        <v>2.4283174999999999</v>
      </c>
      <c r="I310" s="17">
        <f t="shared" si="10"/>
        <v>3709.1805334351875</v>
      </c>
    </row>
    <row r="311" spans="1:9" x14ac:dyDescent="0.2">
      <c r="A311" s="109" t="s">
        <v>403</v>
      </c>
      <c r="B311" s="109" t="s">
        <v>552</v>
      </c>
      <c r="C311" s="109" t="s">
        <v>553</v>
      </c>
      <c r="D311" s="109" t="s">
        <v>431</v>
      </c>
      <c r="E311" s="109" t="s">
        <v>407</v>
      </c>
      <c r="F311" s="17">
        <v>3188257</v>
      </c>
      <c r="G311" t="s">
        <v>574</v>
      </c>
      <c r="H311">
        <f t="shared" si="9"/>
        <v>2.4283174999999999</v>
      </c>
      <c r="I311" s="17">
        <f t="shared" si="10"/>
        <v>1312.9489862837131</v>
      </c>
    </row>
    <row r="312" spans="1:9" x14ac:dyDescent="0.2">
      <c r="A312" s="109" t="s">
        <v>403</v>
      </c>
      <c r="B312" s="109" t="s">
        <v>552</v>
      </c>
      <c r="C312" s="109" t="s">
        <v>553</v>
      </c>
      <c r="D312" s="109" t="s">
        <v>409</v>
      </c>
      <c r="E312" s="109" t="s">
        <v>407</v>
      </c>
      <c r="F312" s="17">
        <v>150241157</v>
      </c>
      <c r="G312" t="s">
        <v>574</v>
      </c>
      <c r="H312">
        <f t="shared" si="9"/>
        <v>2.4283174999999999</v>
      </c>
      <c r="I312" s="17">
        <f t="shared" si="10"/>
        <v>61870.474927599054</v>
      </c>
    </row>
    <row r="313" spans="1:9" x14ac:dyDescent="0.2">
      <c r="A313" s="109" t="s">
        <v>403</v>
      </c>
      <c r="B313" s="109" t="s">
        <v>552</v>
      </c>
      <c r="C313" s="109" t="s">
        <v>553</v>
      </c>
      <c r="D313" s="109" t="s">
        <v>410</v>
      </c>
      <c r="E313" s="109" t="s">
        <v>407</v>
      </c>
      <c r="F313" s="17">
        <v>10048003</v>
      </c>
      <c r="G313" t="s">
        <v>574</v>
      </c>
      <c r="H313">
        <f t="shared" si="9"/>
        <v>2.4283174999999999</v>
      </c>
      <c r="I313" s="17">
        <f t="shared" si="10"/>
        <v>4137.8456482729298</v>
      </c>
    </row>
    <row r="314" spans="1:9" x14ac:dyDescent="0.2">
      <c r="A314" s="109" t="s">
        <v>403</v>
      </c>
      <c r="B314" s="109" t="s">
        <v>554</v>
      </c>
      <c r="C314" s="109" t="s">
        <v>555</v>
      </c>
      <c r="D314" s="109" t="s">
        <v>408</v>
      </c>
      <c r="E314" s="109" t="s">
        <v>407</v>
      </c>
      <c r="F314" s="17">
        <v>18890829</v>
      </c>
      <c r="G314" t="s">
        <v>574</v>
      </c>
      <c r="H314">
        <f t="shared" si="9"/>
        <v>2.4283174999999999</v>
      </c>
      <c r="I314" s="17">
        <f t="shared" si="10"/>
        <v>7779.3900509303257</v>
      </c>
    </row>
    <row r="315" spans="1:9" x14ac:dyDescent="0.2">
      <c r="A315" s="109" t="s">
        <v>403</v>
      </c>
      <c r="B315" s="109" t="s">
        <v>554</v>
      </c>
      <c r="C315" s="109" t="s">
        <v>555</v>
      </c>
      <c r="D315" s="109" t="s">
        <v>409</v>
      </c>
      <c r="E315" s="109" t="s">
        <v>407</v>
      </c>
      <c r="F315" s="17">
        <v>15004356</v>
      </c>
      <c r="G315" t="s">
        <v>574</v>
      </c>
      <c r="H315">
        <f t="shared" si="9"/>
        <v>2.4283174999999999</v>
      </c>
      <c r="I315" s="17">
        <f t="shared" si="10"/>
        <v>6178.9102948852451</v>
      </c>
    </row>
    <row r="316" spans="1:9" x14ac:dyDescent="0.2">
      <c r="A316" s="109" t="s">
        <v>403</v>
      </c>
      <c r="B316" s="109" t="s">
        <v>554</v>
      </c>
      <c r="C316" s="109" t="s">
        <v>555</v>
      </c>
      <c r="D316" s="109" t="s">
        <v>410</v>
      </c>
      <c r="E316" s="109" t="s">
        <v>407</v>
      </c>
      <c r="F316" s="17">
        <v>281846</v>
      </c>
      <c r="G316" t="s">
        <v>574</v>
      </c>
      <c r="H316">
        <f t="shared" si="9"/>
        <v>2.4283174999999999</v>
      </c>
      <c r="I316" s="17">
        <f t="shared" si="10"/>
        <v>116.06637105732673</v>
      </c>
    </row>
    <row r="317" spans="1:9" x14ac:dyDescent="0.2">
      <c r="A317" s="109" t="s">
        <v>403</v>
      </c>
      <c r="B317" s="109" t="s">
        <v>556</v>
      </c>
      <c r="C317" s="109" t="s">
        <v>557</v>
      </c>
      <c r="D317" s="109" t="s">
        <v>408</v>
      </c>
      <c r="E317" s="109" t="s">
        <v>407</v>
      </c>
      <c r="F317" s="17">
        <v>6090589</v>
      </c>
      <c r="G317" t="s">
        <v>574</v>
      </c>
      <c r="H317">
        <f t="shared" si="9"/>
        <v>2.4283174999999999</v>
      </c>
      <c r="I317" s="17">
        <f t="shared" si="10"/>
        <v>2508.1518376406711</v>
      </c>
    </row>
    <row r="318" spans="1:9" x14ac:dyDescent="0.2">
      <c r="A318" s="109" t="s">
        <v>403</v>
      </c>
      <c r="B318" s="109" t="s">
        <v>556</v>
      </c>
      <c r="C318" s="109" t="s">
        <v>557</v>
      </c>
      <c r="D318" s="109" t="s">
        <v>409</v>
      </c>
      <c r="E318" s="109" t="s">
        <v>407</v>
      </c>
      <c r="F318" s="17">
        <v>12455545</v>
      </c>
      <c r="G318" t="s">
        <v>574</v>
      </c>
      <c r="H318">
        <f t="shared" si="9"/>
        <v>2.4283174999999999</v>
      </c>
      <c r="I318" s="17">
        <f t="shared" si="10"/>
        <v>5129.2901360715805</v>
      </c>
    </row>
    <row r="319" spans="1:9" x14ac:dyDescent="0.2">
      <c r="A319" s="109" t="s">
        <v>403</v>
      </c>
      <c r="B319" s="109" t="s">
        <v>556</v>
      </c>
      <c r="C319" s="109" t="s">
        <v>557</v>
      </c>
      <c r="D319" s="109" t="s">
        <v>410</v>
      </c>
      <c r="E319" s="109" t="s">
        <v>407</v>
      </c>
      <c r="F319" s="17">
        <v>107917</v>
      </c>
      <c r="G319" t="s">
        <v>574</v>
      </c>
      <c r="H319">
        <f t="shared" si="9"/>
        <v>2.4283174999999999</v>
      </c>
      <c r="I319" s="17">
        <f t="shared" si="10"/>
        <v>44.441058469495857</v>
      </c>
    </row>
    <row r="320" spans="1:9" x14ac:dyDescent="0.2">
      <c r="A320" s="109" t="s">
        <v>403</v>
      </c>
      <c r="B320" s="109" t="s">
        <v>558</v>
      </c>
      <c r="C320" s="109" t="s">
        <v>559</v>
      </c>
      <c r="D320" s="109" t="s">
        <v>406</v>
      </c>
      <c r="E320" s="109" t="s">
        <v>407</v>
      </c>
      <c r="F320" s="17">
        <v>0</v>
      </c>
      <c r="G320" t="s">
        <v>574</v>
      </c>
      <c r="H320">
        <f t="shared" si="9"/>
        <v>2.4283174999999999</v>
      </c>
      <c r="I320" s="17">
        <f t="shared" si="10"/>
        <v>0</v>
      </c>
    </row>
    <row r="321" spans="1:9" x14ac:dyDescent="0.2">
      <c r="A321" s="109" t="s">
        <v>403</v>
      </c>
      <c r="B321" s="109" t="s">
        <v>558</v>
      </c>
      <c r="C321" s="109" t="s">
        <v>559</v>
      </c>
      <c r="D321" s="109" t="s">
        <v>408</v>
      </c>
      <c r="E321" s="109" t="s">
        <v>407</v>
      </c>
      <c r="F321" s="17">
        <v>13418864</v>
      </c>
      <c r="G321" t="s">
        <v>574</v>
      </c>
      <c r="H321">
        <f t="shared" si="9"/>
        <v>2.4283174999999999</v>
      </c>
      <c r="I321" s="17">
        <f t="shared" si="10"/>
        <v>5525.9923794973274</v>
      </c>
    </row>
    <row r="322" spans="1:9" x14ac:dyDescent="0.2">
      <c r="A322" s="109" t="s">
        <v>403</v>
      </c>
      <c r="B322" s="109" t="s">
        <v>558</v>
      </c>
      <c r="C322" s="109" t="s">
        <v>559</v>
      </c>
      <c r="D322" s="109" t="s">
        <v>431</v>
      </c>
      <c r="E322" s="109" t="s">
        <v>407</v>
      </c>
      <c r="F322" s="17">
        <v>661030</v>
      </c>
      <c r="G322" t="s">
        <v>574</v>
      </c>
      <c r="H322">
        <f t="shared" si="9"/>
        <v>2.4283174999999999</v>
      </c>
      <c r="I322" s="17">
        <f t="shared" si="10"/>
        <v>272.21728624860629</v>
      </c>
    </row>
    <row r="323" spans="1:9" x14ac:dyDescent="0.2">
      <c r="A323" s="109" t="s">
        <v>403</v>
      </c>
      <c r="B323" s="109" t="s">
        <v>558</v>
      </c>
      <c r="C323" s="109" t="s">
        <v>559</v>
      </c>
      <c r="D323" s="109" t="s">
        <v>409</v>
      </c>
      <c r="E323" s="109" t="s">
        <v>407</v>
      </c>
      <c r="F323" s="17">
        <v>45703840</v>
      </c>
      <c r="G323" t="s">
        <v>574</v>
      </c>
      <c r="H323">
        <f t="shared" si="9"/>
        <v>2.4283174999999999</v>
      </c>
      <c r="I323" s="17">
        <f t="shared" si="10"/>
        <v>18821.196157421757</v>
      </c>
    </row>
    <row r="324" spans="1:9" x14ac:dyDescent="0.2">
      <c r="A324" s="109" t="s">
        <v>403</v>
      </c>
      <c r="B324" s="109" t="s">
        <v>558</v>
      </c>
      <c r="C324" s="109" t="s">
        <v>559</v>
      </c>
      <c r="D324" s="109" t="s">
        <v>410</v>
      </c>
      <c r="E324" s="109" t="s">
        <v>407</v>
      </c>
      <c r="F324" s="17">
        <v>138136702</v>
      </c>
      <c r="G324" t="s">
        <v>574</v>
      </c>
      <c r="H324">
        <f t="shared" si="9"/>
        <v>2.4283174999999999</v>
      </c>
      <c r="I324" s="17">
        <f t="shared" si="10"/>
        <v>56885.766379396438</v>
      </c>
    </row>
    <row r="325" spans="1:9" x14ac:dyDescent="0.2">
      <c r="A325" s="109" t="s">
        <v>403</v>
      </c>
      <c r="B325" s="109" t="s">
        <v>558</v>
      </c>
      <c r="C325" s="109" t="s">
        <v>559</v>
      </c>
      <c r="D325" s="109" t="s">
        <v>415</v>
      </c>
      <c r="E325" s="109" t="s">
        <v>407</v>
      </c>
      <c r="F325" s="17">
        <v>151841</v>
      </c>
      <c r="G325" t="s">
        <v>574</v>
      </c>
      <c r="H325">
        <f t="shared" si="9"/>
        <v>2.4283174999999999</v>
      </c>
      <c r="I325" s="17">
        <f t="shared" si="10"/>
        <v>62.529302696208383</v>
      </c>
    </row>
    <row r="326" spans="1:9" x14ac:dyDescent="0.2">
      <c r="A326" s="109" t="s">
        <v>403</v>
      </c>
      <c r="B326" s="109" t="s">
        <v>560</v>
      </c>
      <c r="C326" s="109" t="s">
        <v>561</v>
      </c>
      <c r="D326" s="109" t="s">
        <v>406</v>
      </c>
      <c r="E326" s="109" t="s">
        <v>407</v>
      </c>
      <c r="F326" s="17">
        <v>0</v>
      </c>
      <c r="G326" t="s">
        <v>574</v>
      </c>
      <c r="H326">
        <f t="shared" si="9"/>
        <v>2.4283174999999999</v>
      </c>
      <c r="I326" s="17">
        <f t="shared" si="10"/>
        <v>0</v>
      </c>
    </row>
    <row r="327" spans="1:9" x14ac:dyDescent="0.2">
      <c r="A327" s="109" t="s">
        <v>403</v>
      </c>
      <c r="B327" s="109" t="s">
        <v>560</v>
      </c>
      <c r="C327" s="109" t="s">
        <v>561</v>
      </c>
      <c r="D327" s="109" t="s">
        <v>408</v>
      </c>
      <c r="E327" s="109" t="s">
        <v>407</v>
      </c>
      <c r="F327" s="17">
        <v>3328475</v>
      </c>
      <c r="G327" t="s">
        <v>574</v>
      </c>
      <c r="H327">
        <f t="shared" si="9"/>
        <v>2.4283174999999999</v>
      </c>
      <c r="I327" s="17">
        <f t="shared" si="10"/>
        <v>1370.6918473387439</v>
      </c>
    </row>
    <row r="328" spans="1:9" x14ac:dyDescent="0.2">
      <c r="A328" s="109" t="s">
        <v>403</v>
      </c>
      <c r="B328" s="109" t="s">
        <v>560</v>
      </c>
      <c r="C328" s="109" t="s">
        <v>561</v>
      </c>
      <c r="D328" s="109" t="s">
        <v>431</v>
      </c>
      <c r="E328" s="109" t="s">
        <v>407</v>
      </c>
      <c r="F328" s="17">
        <v>1307562</v>
      </c>
      <c r="G328" t="s">
        <v>574</v>
      </c>
      <c r="H328">
        <f t="shared" si="9"/>
        <v>2.4283174999999999</v>
      </c>
      <c r="I328" s="17">
        <f t="shared" si="10"/>
        <v>538.46418353448428</v>
      </c>
    </row>
    <row r="329" spans="1:9" x14ac:dyDescent="0.2">
      <c r="A329" s="109" t="s">
        <v>403</v>
      </c>
      <c r="B329" s="109" t="s">
        <v>560</v>
      </c>
      <c r="C329" s="109" t="s">
        <v>561</v>
      </c>
      <c r="D329" s="109" t="s">
        <v>409</v>
      </c>
      <c r="E329" s="109" t="s">
        <v>407</v>
      </c>
      <c r="F329" s="17">
        <v>5825842</v>
      </c>
      <c r="G329" t="s">
        <v>574</v>
      </c>
      <c r="H329">
        <f t="shared" si="9"/>
        <v>2.4283174999999999</v>
      </c>
      <c r="I329" s="17">
        <f t="shared" si="10"/>
        <v>2399.1269675402827</v>
      </c>
    </row>
    <row r="330" spans="1:9" x14ac:dyDescent="0.2">
      <c r="A330" s="109" t="s">
        <v>403</v>
      </c>
      <c r="B330" s="109" t="s">
        <v>560</v>
      </c>
      <c r="C330" s="109" t="s">
        <v>561</v>
      </c>
      <c r="D330" s="109" t="s">
        <v>410</v>
      </c>
      <c r="E330" s="109" t="s">
        <v>407</v>
      </c>
      <c r="F330" s="17">
        <v>85782</v>
      </c>
      <c r="G330" t="s">
        <v>574</v>
      </c>
      <c r="H330">
        <f t="shared" si="9"/>
        <v>2.4283174999999999</v>
      </c>
      <c r="I330" s="17">
        <f t="shared" si="10"/>
        <v>35.325693612964535</v>
      </c>
    </row>
    <row r="331" spans="1:9" x14ac:dyDescent="0.2">
      <c r="A331" s="109" t="s">
        <v>403</v>
      </c>
      <c r="B331" s="109" t="s">
        <v>560</v>
      </c>
      <c r="C331" s="109" t="s">
        <v>561</v>
      </c>
      <c r="D331" s="109" t="s">
        <v>415</v>
      </c>
      <c r="E331" s="109" t="s">
        <v>407</v>
      </c>
      <c r="F331" s="17">
        <v>29000</v>
      </c>
      <c r="G331" t="s">
        <v>574</v>
      </c>
      <c r="H331">
        <f t="shared" si="9"/>
        <v>2.4283174999999999</v>
      </c>
      <c r="I331" s="17">
        <f t="shared" si="10"/>
        <v>11.942425156512689</v>
      </c>
    </row>
    <row r="332" spans="1:9" x14ac:dyDescent="0.2">
      <c r="A332" s="109" t="s">
        <v>403</v>
      </c>
      <c r="B332" s="109" t="s">
        <v>562</v>
      </c>
      <c r="C332" s="109" t="s">
        <v>563</v>
      </c>
      <c r="D332" s="109" t="s">
        <v>406</v>
      </c>
      <c r="E332" s="109" t="s">
        <v>407</v>
      </c>
      <c r="F332" s="17">
        <v>0</v>
      </c>
      <c r="G332" t="s">
        <v>574</v>
      </c>
      <c r="H332">
        <f t="shared" si="9"/>
        <v>2.4283174999999999</v>
      </c>
      <c r="I332" s="17">
        <f t="shared" si="10"/>
        <v>0</v>
      </c>
    </row>
    <row r="333" spans="1:9" x14ac:dyDescent="0.2">
      <c r="A333" s="109" t="s">
        <v>403</v>
      </c>
      <c r="B333" s="109" t="s">
        <v>562</v>
      </c>
      <c r="C333" s="109" t="s">
        <v>563</v>
      </c>
      <c r="D333" s="109" t="s">
        <v>408</v>
      </c>
      <c r="E333" s="109" t="s">
        <v>407</v>
      </c>
      <c r="F333" s="17">
        <v>72725850</v>
      </c>
      <c r="G333" t="s">
        <v>574</v>
      </c>
      <c r="H333">
        <f t="shared" si="9"/>
        <v>2.4283174999999999</v>
      </c>
      <c r="I333" s="17">
        <f t="shared" si="10"/>
        <v>29949.069674785114</v>
      </c>
    </row>
    <row r="334" spans="1:9" x14ac:dyDescent="0.2">
      <c r="A334" s="109" t="s">
        <v>403</v>
      </c>
      <c r="B334" s="109" t="s">
        <v>562</v>
      </c>
      <c r="C334" s="109" t="s">
        <v>563</v>
      </c>
      <c r="D334" s="109" t="s">
        <v>431</v>
      </c>
      <c r="E334" s="109" t="s">
        <v>407</v>
      </c>
      <c r="F334" s="17">
        <v>2119582</v>
      </c>
      <c r="G334" t="s">
        <v>574</v>
      </c>
      <c r="H334">
        <f t="shared" si="9"/>
        <v>2.4283174999999999</v>
      </c>
      <c r="I334" s="17">
        <f t="shared" si="10"/>
        <v>872.86032407211997</v>
      </c>
    </row>
    <row r="335" spans="1:9" x14ac:dyDescent="0.2">
      <c r="A335" s="109" t="s">
        <v>403</v>
      </c>
      <c r="B335" s="109" t="s">
        <v>562</v>
      </c>
      <c r="C335" s="109" t="s">
        <v>563</v>
      </c>
      <c r="D335" s="109" t="s">
        <v>409</v>
      </c>
      <c r="E335" s="109" t="s">
        <v>407</v>
      </c>
      <c r="F335" s="17">
        <v>28888408</v>
      </c>
      <c r="G335" t="s">
        <v>574</v>
      </c>
      <c r="H335">
        <f t="shared" si="9"/>
        <v>2.4283174999999999</v>
      </c>
      <c r="I335" s="17">
        <f t="shared" si="10"/>
        <v>11896.470704510428</v>
      </c>
    </row>
    <row r="336" spans="1:9" x14ac:dyDescent="0.2">
      <c r="A336" s="109" t="s">
        <v>403</v>
      </c>
      <c r="B336" s="109" t="s">
        <v>562</v>
      </c>
      <c r="C336" s="109" t="s">
        <v>563</v>
      </c>
      <c r="D336" s="109" t="s">
        <v>410</v>
      </c>
      <c r="E336" s="109" t="s">
        <v>407</v>
      </c>
      <c r="F336" s="17">
        <v>10886595</v>
      </c>
      <c r="G336" t="s">
        <v>574</v>
      </c>
      <c r="H336">
        <f t="shared" si="9"/>
        <v>2.4283174999999999</v>
      </c>
      <c r="I336" s="17">
        <f t="shared" si="10"/>
        <v>4483.1843447160436</v>
      </c>
    </row>
    <row r="337" spans="1:9" x14ac:dyDescent="0.2">
      <c r="A337" s="109" t="s">
        <v>403</v>
      </c>
      <c r="B337" s="109" t="s">
        <v>564</v>
      </c>
      <c r="C337" s="109" t="s">
        <v>565</v>
      </c>
      <c r="D337" s="109" t="s">
        <v>406</v>
      </c>
      <c r="E337" s="109" t="s">
        <v>407</v>
      </c>
      <c r="F337" s="17">
        <v>0</v>
      </c>
      <c r="G337" t="s">
        <v>82</v>
      </c>
      <c r="H337">
        <f t="shared" si="9"/>
        <v>3.8141000000000003</v>
      </c>
      <c r="I337" s="17">
        <f t="shared" si="10"/>
        <v>0</v>
      </c>
    </row>
    <row r="338" spans="1:9" x14ac:dyDescent="0.2">
      <c r="A338" s="109" t="s">
        <v>403</v>
      </c>
      <c r="B338" s="109" t="s">
        <v>564</v>
      </c>
      <c r="C338" s="109" t="s">
        <v>565</v>
      </c>
      <c r="D338" s="109" t="s">
        <v>424</v>
      </c>
      <c r="E338" s="109" t="s">
        <v>407</v>
      </c>
      <c r="F338" s="17">
        <v>118804308</v>
      </c>
      <c r="G338" t="s">
        <v>82</v>
      </c>
      <c r="H338">
        <f t="shared" si="9"/>
        <v>3.8141000000000003</v>
      </c>
      <c r="I338" s="17">
        <f t="shared" si="10"/>
        <v>31148.713457958624</v>
      </c>
    </row>
    <row r="339" spans="1:9" x14ac:dyDescent="0.2">
      <c r="A339" s="109" t="s">
        <v>403</v>
      </c>
      <c r="B339" s="109" t="s">
        <v>564</v>
      </c>
      <c r="C339" s="109" t="s">
        <v>565</v>
      </c>
      <c r="D339" s="109" t="s">
        <v>410</v>
      </c>
      <c r="E339" s="109" t="s">
        <v>407</v>
      </c>
      <c r="F339" s="17">
        <v>6246063</v>
      </c>
      <c r="G339" t="s">
        <v>82</v>
      </c>
      <c r="H339">
        <f t="shared" si="9"/>
        <v>3.8141000000000003</v>
      </c>
      <c r="I339" s="17">
        <f t="shared" si="10"/>
        <v>1637.6243412600611</v>
      </c>
    </row>
    <row r="340" spans="1:9" x14ac:dyDescent="0.2">
      <c r="A340" s="109" t="s">
        <v>403</v>
      </c>
      <c r="B340" s="109" t="s">
        <v>564</v>
      </c>
      <c r="C340" s="109" t="s">
        <v>565</v>
      </c>
      <c r="D340" s="109" t="s">
        <v>415</v>
      </c>
      <c r="E340" s="109" t="s">
        <v>407</v>
      </c>
      <c r="F340" s="17">
        <v>1197</v>
      </c>
      <c r="G340" t="s">
        <v>82</v>
      </c>
      <c r="H340">
        <f t="shared" si="9"/>
        <v>3.8141000000000003</v>
      </c>
      <c r="I340" s="17">
        <f t="shared" si="10"/>
        <v>0.3138355050994992</v>
      </c>
    </row>
    <row r="341" spans="1:9" x14ac:dyDescent="0.2">
      <c r="A341" s="109" t="s">
        <v>403</v>
      </c>
      <c r="B341" s="109" t="s">
        <v>566</v>
      </c>
      <c r="C341" s="109" t="s">
        <v>567</v>
      </c>
      <c r="D341" s="109" t="s">
        <v>406</v>
      </c>
      <c r="E341" s="109" t="s">
        <v>407</v>
      </c>
      <c r="F341" s="17">
        <v>0</v>
      </c>
      <c r="G341" t="s">
        <v>82</v>
      </c>
      <c r="H341">
        <f t="shared" si="9"/>
        <v>3.8141000000000003</v>
      </c>
      <c r="I341" s="17">
        <f t="shared" si="10"/>
        <v>0</v>
      </c>
    </row>
    <row r="342" spans="1:9" x14ac:dyDescent="0.2">
      <c r="A342" s="109" t="s">
        <v>403</v>
      </c>
      <c r="B342" s="109" t="s">
        <v>566</v>
      </c>
      <c r="C342" s="109" t="s">
        <v>567</v>
      </c>
      <c r="D342" s="109" t="s">
        <v>408</v>
      </c>
      <c r="E342" s="109" t="s">
        <v>407</v>
      </c>
      <c r="F342" s="17">
        <v>8121333</v>
      </c>
      <c r="G342" t="s">
        <v>82</v>
      </c>
      <c r="H342">
        <f t="shared" si="9"/>
        <v>3.8141000000000003</v>
      </c>
      <c r="I342" s="17">
        <f t="shared" si="10"/>
        <v>2129.2921003644369</v>
      </c>
    </row>
    <row r="343" spans="1:9" x14ac:dyDescent="0.2">
      <c r="A343" s="109" t="s">
        <v>403</v>
      </c>
      <c r="B343" s="109" t="s">
        <v>566</v>
      </c>
      <c r="C343" s="109" t="s">
        <v>567</v>
      </c>
      <c r="D343" s="109" t="s">
        <v>409</v>
      </c>
      <c r="E343" s="109" t="s">
        <v>407</v>
      </c>
      <c r="F343" s="17">
        <v>11918454</v>
      </c>
      <c r="G343" t="s">
        <v>82</v>
      </c>
      <c r="H343">
        <f t="shared" ref="H343:H357" si="11">INDEX($B$366:$B$379,MATCH($G343,$A$366:$A$379,0),1)</f>
        <v>3.8141000000000003</v>
      </c>
      <c r="I343" s="17">
        <f t="shared" ref="I343:I357" si="12">F343/H343*10^-3</f>
        <v>3124.8404603969479</v>
      </c>
    </row>
    <row r="344" spans="1:9" x14ac:dyDescent="0.2">
      <c r="A344" s="109" t="s">
        <v>403</v>
      </c>
      <c r="B344" s="109" t="s">
        <v>566</v>
      </c>
      <c r="C344" s="109" t="s">
        <v>567</v>
      </c>
      <c r="D344" s="109" t="s">
        <v>410</v>
      </c>
      <c r="E344" s="109" t="s">
        <v>407</v>
      </c>
      <c r="F344" s="17">
        <v>1512647</v>
      </c>
      <c r="G344" t="s">
        <v>82</v>
      </c>
      <c r="H344">
        <f t="shared" si="11"/>
        <v>3.8141000000000003</v>
      </c>
      <c r="I344" s="17">
        <f t="shared" si="12"/>
        <v>396.59342964264175</v>
      </c>
    </row>
    <row r="345" spans="1:9" x14ac:dyDescent="0.2">
      <c r="A345" s="109" t="s">
        <v>403</v>
      </c>
      <c r="B345" s="109" t="s">
        <v>568</v>
      </c>
      <c r="C345" s="109" t="s">
        <v>569</v>
      </c>
      <c r="D345" s="109" t="s">
        <v>406</v>
      </c>
      <c r="E345" s="109" t="s">
        <v>407</v>
      </c>
      <c r="F345" s="17">
        <v>0</v>
      </c>
      <c r="G345" t="s">
        <v>82</v>
      </c>
      <c r="H345">
        <f t="shared" si="11"/>
        <v>3.8141000000000003</v>
      </c>
      <c r="I345" s="17">
        <f t="shared" si="12"/>
        <v>0</v>
      </c>
    </row>
    <row r="346" spans="1:9" x14ac:dyDescent="0.2">
      <c r="A346" s="109" t="s">
        <v>403</v>
      </c>
      <c r="B346" s="109" t="s">
        <v>568</v>
      </c>
      <c r="C346" s="109" t="s">
        <v>569</v>
      </c>
      <c r="D346" s="109" t="s">
        <v>424</v>
      </c>
      <c r="E346" s="109" t="s">
        <v>407</v>
      </c>
      <c r="F346" s="17">
        <v>8760</v>
      </c>
      <c r="G346" t="s">
        <v>82</v>
      </c>
      <c r="H346">
        <f t="shared" si="11"/>
        <v>3.8141000000000003</v>
      </c>
      <c r="I346" s="17">
        <f t="shared" si="12"/>
        <v>2.2967410398259092</v>
      </c>
    </row>
    <row r="347" spans="1:9" x14ac:dyDescent="0.2">
      <c r="A347" s="109" t="s">
        <v>403</v>
      </c>
      <c r="B347" s="109" t="s">
        <v>568</v>
      </c>
      <c r="C347" s="109" t="s">
        <v>569</v>
      </c>
      <c r="D347" s="109" t="s">
        <v>452</v>
      </c>
      <c r="E347" s="109" t="s">
        <v>407</v>
      </c>
      <c r="F347" s="17">
        <v>3765</v>
      </c>
      <c r="G347" t="s">
        <v>82</v>
      </c>
      <c r="H347">
        <f t="shared" si="11"/>
        <v>3.8141000000000003</v>
      </c>
      <c r="I347" s="17">
        <f t="shared" si="12"/>
        <v>0.98712671403476571</v>
      </c>
    </row>
    <row r="348" spans="1:9" x14ac:dyDescent="0.2">
      <c r="A348" s="109" t="s">
        <v>403</v>
      </c>
      <c r="B348" s="109" t="s">
        <v>568</v>
      </c>
      <c r="C348" s="109" t="s">
        <v>569</v>
      </c>
      <c r="D348" s="109" t="s">
        <v>408</v>
      </c>
      <c r="E348" s="109" t="s">
        <v>407</v>
      </c>
      <c r="F348" s="17">
        <v>48919434</v>
      </c>
      <c r="G348" t="s">
        <v>82</v>
      </c>
      <c r="H348">
        <f t="shared" si="11"/>
        <v>3.8141000000000003</v>
      </c>
      <c r="I348" s="17">
        <f t="shared" si="12"/>
        <v>12825.944259458323</v>
      </c>
    </row>
    <row r="349" spans="1:9" x14ac:dyDescent="0.2">
      <c r="A349" s="109" t="s">
        <v>403</v>
      </c>
      <c r="B349" s="109" t="s">
        <v>568</v>
      </c>
      <c r="C349" s="109" t="s">
        <v>569</v>
      </c>
      <c r="D349" s="109" t="s">
        <v>431</v>
      </c>
      <c r="E349" s="109" t="s">
        <v>407</v>
      </c>
      <c r="F349" s="17">
        <v>1388909</v>
      </c>
      <c r="G349" t="s">
        <v>82</v>
      </c>
      <c r="H349">
        <f t="shared" si="11"/>
        <v>3.8141000000000003</v>
      </c>
      <c r="I349" s="17">
        <f t="shared" si="12"/>
        <v>364.15117589995015</v>
      </c>
    </row>
    <row r="350" spans="1:9" x14ac:dyDescent="0.2">
      <c r="A350" s="109" t="s">
        <v>403</v>
      </c>
      <c r="B350" s="109" t="s">
        <v>568</v>
      </c>
      <c r="C350" s="109" t="s">
        <v>569</v>
      </c>
      <c r="D350" s="109" t="s">
        <v>409</v>
      </c>
      <c r="E350" s="109" t="s">
        <v>407</v>
      </c>
      <c r="F350" s="17">
        <v>119215639</v>
      </c>
      <c r="G350" t="s">
        <v>82</v>
      </c>
      <c r="H350">
        <f t="shared" si="11"/>
        <v>3.8141000000000003</v>
      </c>
      <c r="I350" s="17">
        <f t="shared" si="12"/>
        <v>31256.558296845913</v>
      </c>
    </row>
    <row r="351" spans="1:9" x14ac:dyDescent="0.2">
      <c r="A351" s="109" t="s">
        <v>403</v>
      </c>
      <c r="B351" s="109" t="s">
        <v>568</v>
      </c>
      <c r="C351" s="109" t="s">
        <v>569</v>
      </c>
      <c r="D351" s="109" t="s">
        <v>410</v>
      </c>
      <c r="E351" s="109" t="s">
        <v>407</v>
      </c>
      <c r="F351" s="17">
        <v>9854760</v>
      </c>
      <c r="G351" t="s">
        <v>82</v>
      </c>
      <c r="H351">
        <f t="shared" si="11"/>
        <v>3.8141000000000003</v>
      </c>
      <c r="I351" s="17">
        <f t="shared" si="12"/>
        <v>2583.7707453920975</v>
      </c>
    </row>
    <row r="352" spans="1:9" x14ac:dyDescent="0.2">
      <c r="A352" s="109" t="s">
        <v>403</v>
      </c>
      <c r="B352" s="109" t="s">
        <v>570</v>
      </c>
      <c r="C352" s="109" t="s">
        <v>571</v>
      </c>
      <c r="D352" s="109" t="s">
        <v>406</v>
      </c>
      <c r="E352" s="109" t="s">
        <v>407</v>
      </c>
      <c r="F352" s="17">
        <v>0</v>
      </c>
      <c r="G352" t="s">
        <v>574</v>
      </c>
      <c r="H352">
        <f t="shared" si="11"/>
        <v>2.4283174999999999</v>
      </c>
      <c r="I352" s="17">
        <f t="shared" si="12"/>
        <v>0</v>
      </c>
    </row>
    <row r="353" spans="1:12" x14ac:dyDescent="0.2">
      <c r="A353" s="109" t="s">
        <v>403</v>
      </c>
      <c r="B353" s="109" t="s">
        <v>570</v>
      </c>
      <c r="C353" s="109" t="s">
        <v>571</v>
      </c>
      <c r="D353" s="109" t="s">
        <v>464</v>
      </c>
      <c r="E353" s="109" t="s">
        <v>407</v>
      </c>
      <c r="F353" s="17">
        <v>19225</v>
      </c>
      <c r="G353" t="s">
        <v>574</v>
      </c>
      <c r="H353">
        <f t="shared" si="11"/>
        <v>2.4283174999999999</v>
      </c>
      <c r="I353" s="17">
        <f t="shared" si="12"/>
        <v>7.9170042632398774</v>
      </c>
    </row>
    <row r="354" spans="1:12" x14ac:dyDescent="0.2">
      <c r="A354" s="109" t="s">
        <v>403</v>
      </c>
      <c r="B354" s="109" t="s">
        <v>570</v>
      </c>
      <c r="C354" s="109" t="s">
        <v>571</v>
      </c>
      <c r="D354" s="109" t="s">
        <v>408</v>
      </c>
      <c r="E354" s="109" t="s">
        <v>407</v>
      </c>
      <c r="F354" s="17">
        <v>99302811</v>
      </c>
      <c r="G354" t="s">
        <v>574</v>
      </c>
      <c r="H354">
        <f t="shared" si="11"/>
        <v>2.4283174999999999</v>
      </c>
      <c r="I354" s="17">
        <f t="shared" si="12"/>
        <v>40893.668558580168</v>
      </c>
    </row>
    <row r="355" spans="1:12" x14ac:dyDescent="0.2">
      <c r="A355" s="109" t="s">
        <v>403</v>
      </c>
      <c r="B355" s="109" t="s">
        <v>570</v>
      </c>
      <c r="C355" s="109" t="s">
        <v>571</v>
      </c>
      <c r="D355" s="109" t="s">
        <v>409</v>
      </c>
      <c r="E355" s="109" t="s">
        <v>407</v>
      </c>
      <c r="F355" s="17">
        <v>479191296</v>
      </c>
      <c r="G355" t="s">
        <v>574</v>
      </c>
      <c r="H355">
        <f t="shared" si="11"/>
        <v>2.4283174999999999</v>
      </c>
      <c r="I355" s="17">
        <f t="shared" si="12"/>
        <v>197334.69614249372</v>
      </c>
    </row>
    <row r="356" spans="1:12" x14ac:dyDescent="0.2">
      <c r="A356" s="109" t="s">
        <v>403</v>
      </c>
      <c r="B356" s="109" t="s">
        <v>570</v>
      </c>
      <c r="C356" s="109" t="s">
        <v>571</v>
      </c>
      <c r="D356" s="109" t="s">
        <v>410</v>
      </c>
      <c r="E356" s="109" t="s">
        <v>407</v>
      </c>
      <c r="F356" s="17">
        <v>26831556</v>
      </c>
      <c r="G356" t="s">
        <v>574</v>
      </c>
      <c r="H356">
        <f t="shared" si="11"/>
        <v>2.4283174999999999</v>
      </c>
      <c r="I356" s="17">
        <f t="shared" si="12"/>
        <v>11049.443081475138</v>
      </c>
    </row>
    <row r="357" spans="1:12" x14ac:dyDescent="0.2">
      <c r="A357" s="109" t="s">
        <v>403</v>
      </c>
      <c r="B357" s="109" t="s">
        <v>570</v>
      </c>
      <c r="C357" s="109" t="s">
        <v>571</v>
      </c>
      <c r="D357" s="109" t="s">
        <v>415</v>
      </c>
      <c r="E357" s="109" t="s">
        <v>407</v>
      </c>
      <c r="F357" s="17">
        <v>17672</v>
      </c>
      <c r="G357" t="s">
        <v>574</v>
      </c>
      <c r="H357">
        <f t="shared" si="11"/>
        <v>2.4283174999999999</v>
      </c>
      <c r="I357" s="17">
        <f t="shared" si="12"/>
        <v>7.2774668057204215</v>
      </c>
    </row>
    <row r="365" spans="1:12" x14ac:dyDescent="0.2">
      <c r="A365" s="2" t="s">
        <v>76</v>
      </c>
      <c r="B365" s="2" t="s">
        <v>876</v>
      </c>
      <c r="C365" s="2" t="s">
        <v>16</v>
      </c>
    </row>
    <row r="366" spans="1:12" x14ac:dyDescent="0.2">
      <c r="A366" t="s">
        <v>8</v>
      </c>
      <c r="B366" s="11">
        <f>1749*10^-3*(1-Conversions!$B$22)</f>
        <v>1.50414</v>
      </c>
      <c r="C366" t="s">
        <v>888</v>
      </c>
    </row>
    <row r="367" spans="1:12" x14ac:dyDescent="0.2">
      <c r="A367" t="s">
        <v>19</v>
      </c>
      <c r="B367" s="11">
        <f>1686*10^-3*(1-Conversions!$B$22)</f>
        <v>1.4499599999999999</v>
      </c>
      <c r="C367" t="s">
        <v>877</v>
      </c>
    </row>
    <row r="368" spans="1:12" x14ac:dyDescent="0.2">
      <c r="A368" t="s">
        <v>1</v>
      </c>
      <c r="B368" s="11">
        <f>1709*10^-3*(1-Conversions!$B$22)</f>
        <v>1.46974</v>
      </c>
      <c r="C368" t="s">
        <v>878</v>
      </c>
      <c r="L368" t="s">
        <v>8</v>
      </c>
    </row>
    <row r="369" spans="1:12" x14ac:dyDescent="0.2">
      <c r="A369" t="s">
        <v>573</v>
      </c>
      <c r="B369" s="11">
        <f>AVERAGE($B$366:$B$368,$B$371:$B$379)</f>
        <v>2.4283174999999999</v>
      </c>
      <c r="L369" t="s">
        <v>19</v>
      </c>
    </row>
    <row r="370" spans="1:12" x14ac:dyDescent="0.2">
      <c r="A370" t="s">
        <v>574</v>
      </c>
      <c r="B370" s="11">
        <f>AVERAGE($B$366:$B$368,$B$371:$B$379)</f>
        <v>2.4283174999999999</v>
      </c>
      <c r="L370" t="s">
        <v>1</v>
      </c>
    </row>
    <row r="371" spans="1:12" x14ac:dyDescent="0.2">
      <c r="A371" t="s">
        <v>10</v>
      </c>
      <c r="B371" s="11">
        <f>2127*10^-3*(1-Conversions!$B$22)</f>
        <v>1.8292200000000001</v>
      </c>
      <c r="C371" t="s">
        <v>879</v>
      </c>
      <c r="L371" t="s">
        <v>573</v>
      </c>
    </row>
    <row r="372" spans="1:12" x14ac:dyDescent="0.2">
      <c r="A372" t="s">
        <v>25</v>
      </c>
      <c r="B372" s="11">
        <f>3315*10^-3*(1-Conversions!$B$22)</f>
        <v>2.8508999999999998</v>
      </c>
      <c r="C372" t="s">
        <v>880</v>
      </c>
      <c r="L372" t="s">
        <v>574</v>
      </c>
    </row>
    <row r="373" spans="1:12" x14ac:dyDescent="0.2">
      <c r="A373" t="s">
        <v>11</v>
      </c>
      <c r="B373" s="11">
        <f>AVERAGE(2354,2930)*10^-3*(1-Conversions!$B$22)</f>
        <v>2.2721199999999997</v>
      </c>
      <c r="C373" t="s">
        <v>881</v>
      </c>
      <c r="L373" t="s">
        <v>10</v>
      </c>
    </row>
    <row r="374" spans="1:12" x14ac:dyDescent="0.2">
      <c r="A374" t="s">
        <v>31</v>
      </c>
      <c r="B374" s="11">
        <f>3159*10^-3*(1-Conversions!$B$22)</f>
        <v>2.7167400000000002</v>
      </c>
      <c r="C374" t="s">
        <v>883</v>
      </c>
      <c r="L374" t="s">
        <v>25</v>
      </c>
    </row>
    <row r="375" spans="1:12" x14ac:dyDescent="0.2">
      <c r="A375" t="s">
        <v>7</v>
      </c>
      <c r="B375" s="11">
        <f>1784*10^-3*(1-Conversions!$B$22)</f>
        <v>1.53424</v>
      </c>
      <c r="C375" t="s">
        <v>882</v>
      </c>
      <c r="L375" t="s">
        <v>11</v>
      </c>
    </row>
    <row r="376" spans="1:12" x14ac:dyDescent="0.2">
      <c r="A376" t="s">
        <v>32</v>
      </c>
      <c r="B376" s="11">
        <f>4100*10^-3*(1-Conversions!$B$22)</f>
        <v>3.5259999999999998</v>
      </c>
      <c r="C376" t="s">
        <v>884</v>
      </c>
      <c r="L376" t="s">
        <v>31</v>
      </c>
    </row>
    <row r="377" spans="1:12" x14ac:dyDescent="0.2">
      <c r="A377" t="s">
        <v>2</v>
      </c>
      <c r="B377" s="11">
        <f>AVERAGE(2338,2411)*10^-3*(1-Conversions!$B$22)</f>
        <v>2.0420699999999998</v>
      </c>
      <c r="C377" t="s">
        <v>885</v>
      </c>
      <c r="L377" t="s">
        <v>7</v>
      </c>
    </row>
    <row r="378" spans="1:12" x14ac:dyDescent="0.2">
      <c r="A378" t="s">
        <v>122</v>
      </c>
      <c r="B378" s="11">
        <f>4803*10^-3*(1-Conversions!$B$22)</f>
        <v>4.1305800000000001</v>
      </c>
      <c r="C378" t="s">
        <v>886</v>
      </c>
      <c r="L378" t="s">
        <v>32</v>
      </c>
    </row>
    <row r="379" spans="1:12" x14ac:dyDescent="0.2">
      <c r="A379" t="s">
        <v>82</v>
      </c>
      <c r="B379" s="11">
        <f>4435*10^-3*(1-Conversions!$B$22)</f>
        <v>3.8141000000000003</v>
      </c>
      <c r="C379" t="s">
        <v>887</v>
      </c>
      <c r="L379" t="s">
        <v>2</v>
      </c>
    </row>
    <row r="380" spans="1:12" x14ac:dyDescent="0.2">
      <c r="L380" t="s">
        <v>122</v>
      </c>
    </row>
    <row r="381" spans="1:12" x14ac:dyDescent="0.2">
      <c r="L381" t="s">
        <v>82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B4FB73-E3B7-284F-A158-8C315B5B205E}">
  <dimension ref="A1:Q168"/>
  <sheetViews>
    <sheetView topLeftCell="A11" zoomScale="120" zoomScaleNormal="120" workbookViewId="0">
      <selection activeCell="A19" sqref="A19"/>
    </sheetView>
  </sheetViews>
  <sheetFormatPr baseColWidth="10" defaultColWidth="8.83203125" defaultRowHeight="14" x14ac:dyDescent="0.2"/>
  <cols>
    <col min="1" max="1" width="38.33203125" style="132" customWidth="1"/>
    <col min="2" max="2" width="13.6640625" style="132" customWidth="1"/>
    <col min="3" max="3" width="25.1640625" style="132" customWidth="1"/>
    <col min="4" max="4" width="15.1640625" style="132" customWidth="1"/>
    <col min="5" max="5" width="11.6640625" style="132" customWidth="1"/>
    <col min="6" max="6" width="12.1640625" style="132" customWidth="1"/>
    <col min="7" max="7" width="12.83203125" style="132" customWidth="1"/>
    <col min="8" max="8" width="11.1640625" style="132" customWidth="1"/>
    <col min="9" max="9" width="8.83203125" style="132"/>
    <col min="10" max="10" width="9.1640625" style="132" bestFit="1" customWidth="1"/>
    <col min="11" max="11" width="8.83203125" style="132"/>
    <col min="12" max="12" width="9.1640625" style="132" bestFit="1" customWidth="1"/>
    <col min="13" max="16384" width="8.83203125" style="132"/>
  </cols>
  <sheetData>
    <row r="1" spans="1:14" s="121" customFormat="1" ht="24" x14ac:dyDescent="0.3">
      <c r="A1" s="4" t="s">
        <v>828</v>
      </c>
    </row>
    <row r="2" spans="1:14" s="121" customFormat="1" ht="15" x14ac:dyDescent="0.2">
      <c r="A2" s="122" t="s">
        <v>829</v>
      </c>
    </row>
    <row r="3" spans="1:14" s="121" customFormat="1" ht="15" x14ac:dyDescent="0.2">
      <c r="A3" s="122"/>
      <c r="D3" s="182" t="s">
        <v>862</v>
      </c>
      <c r="E3" s="182"/>
      <c r="F3" s="182" t="s">
        <v>402</v>
      </c>
      <c r="G3" s="182"/>
      <c r="H3" s="182" t="s">
        <v>864</v>
      </c>
      <c r="I3" s="182"/>
      <c r="J3" s="182"/>
      <c r="K3" s="182"/>
      <c r="L3" s="182"/>
      <c r="M3" s="182"/>
      <c r="N3" s="132"/>
    </row>
    <row r="4" spans="1:14" ht="30" x14ac:dyDescent="0.2">
      <c r="A4" s="129" t="s">
        <v>830</v>
      </c>
      <c r="B4" s="129" t="s">
        <v>843</v>
      </c>
      <c r="C4" s="129" t="s">
        <v>845</v>
      </c>
      <c r="D4" s="130" t="s">
        <v>858</v>
      </c>
      <c r="E4" s="130" t="s">
        <v>859</v>
      </c>
      <c r="F4" s="130" t="s">
        <v>858</v>
      </c>
      <c r="G4" s="130" t="s">
        <v>859</v>
      </c>
      <c r="H4" s="131" t="str">
        <f>PlasticsUse!F93</f>
        <v>Packaging</v>
      </c>
      <c r="I4" s="129" t="str">
        <f>PlasticsUse!J93</f>
        <v>Textiles, Fibers and Apparel</v>
      </c>
      <c r="J4" s="129" t="str">
        <f>PlasticsUse!A13</f>
        <v>Electrical/Electronic</v>
      </c>
      <c r="K4" s="129" t="str">
        <f>PlasticsUse!A14</f>
        <v>Consumer and Institutional</v>
      </c>
      <c r="L4" s="129" t="str">
        <f>PlasticsUse!A9</f>
        <v>Transportation</v>
      </c>
      <c r="M4" s="129" t="str">
        <f>PlasticsUse!A8</f>
        <v>Furniture and Furnishings</v>
      </c>
    </row>
    <row r="5" spans="1:14" x14ac:dyDescent="0.2">
      <c r="A5" s="132" t="s">
        <v>831</v>
      </c>
      <c r="B5" s="133">
        <f>SUM($D$45:$D$81)*10^-6</f>
        <v>68540.730802999999</v>
      </c>
      <c r="C5" s="132" t="s">
        <v>847</v>
      </c>
      <c r="D5" s="134">
        <v>0</v>
      </c>
      <c r="E5" s="134">
        <f>3.1/(1+inflation_rate)</f>
        <v>2.9245283018867925</v>
      </c>
      <c r="F5" s="133">
        <f>D5*$B5</f>
        <v>0</v>
      </c>
      <c r="G5" s="133">
        <f>E5*$B5</f>
        <v>200449.30706537736</v>
      </c>
      <c r="H5" s="133">
        <f>G5</f>
        <v>200449.30706537736</v>
      </c>
    </row>
    <row r="6" spans="1:14" x14ac:dyDescent="0.2">
      <c r="A6" s="132" t="s">
        <v>832</v>
      </c>
      <c r="B6" s="133">
        <f>D82*10^-6</f>
        <v>3162.6757539999999</v>
      </c>
      <c r="C6" s="132" t="s">
        <v>848</v>
      </c>
      <c r="D6" s="134">
        <v>0</v>
      </c>
      <c r="E6" s="134">
        <f>15.4/(1+inflation_rate)</f>
        <v>14.528301886792452</v>
      </c>
      <c r="F6" s="133">
        <f t="shared" ref="F6:F17" si="0">D6*$B6</f>
        <v>0</v>
      </c>
      <c r="G6" s="133">
        <f t="shared" ref="G6:G17" si="1">E6*$B6</f>
        <v>45948.308124150935</v>
      </c>
      <c r="H6" s="133">
        <f t="shared" ref="H6:H17" si="2">G6</f>
        <v>45948.308124150935</v>
      </c>
    </row>
    <row r="7" spans="1:14" x14ac:dyDescent="0.2">
      <c r="A7" s="132" t="s">
        <v>844</v>
      </c>
      <c r="B7" s="133">
        <f>D83*10^-6</f>
        <v>481.942227</v>
      </c>
      <c r="C7" s="132" t="s">
        <v>848</v>
      </c>
      <c r="D7" s="134">
        <v>0</v>
      </c>
      <c r="E7" s="134">
        <f>15.4/(1+inflation_rate)</f>
        <v>14.528301886792452</v>
      </c>
      <c r="F7" s="133">
        <f t="shared" si="0"/>
        <v>0</v>
      </c>
      <c r="G7" s="133">
        <f t="shared" si="1"/>
        <v>7001.8021658490561</v>
      </c>
      <c r="H7" s="133">
        <f t="shared" si="2"/>
        <v>7001.8021658490561</v>
      </c>
    </row>
    <row r="8" spans="1:14" x14ac:dyDescent="0.2">
      <c r="A8" s="132" t="s">
        <v>833</v>
      </c>
      <c r="B8" s="133">
        <f>SUM(D85:D90)*10^-6</f>
        <v>89453.233148999992</v>
      </c>
      <c r="C8" s="132" t="s">
        <v>849</v>
      </c>
      <c r="D8" s="134">
        <f>3.2/(1+inflation_rate)</f>
        <v>3.0188679245283021</v>
      </c>
      <c r="E8" s="134">
        <f>0.3/(1+inflation_rate)</f>
        <v>0.28301886792452829</v>
      </c>
      <c r="F8" s="133">
        <f t="shared" si="0"/>
        <v>270047.49629886792</v>
      </c>
      <c r="G8" s="133">
        <f t="shared" si="1"/>
        <v>25316.952778018866</v>
      </c>
      <c r="H8" s="133">
        <f t="shared" si="2"/>
        <v>25316.952778018866</v>
      </c>
      <c r="I8" s="133">
        <f>F8</f>
        <v>270047.49629886792</v>
      </c>
    </row>
    <row r="9" spans="1:14" x14ac:dyDescent="0.2">
      <c r="A9" s="132" t="s">
        <v>834</v>
      </c>
      <c r="B9" s="133">
        <f>SUM(D91)*10^-6</f>
        <v>26533.359793</v>
      </c>
      <c r="C9" s="132" t="s">
        <v>850</v>
      </c>
      <c r="D9" s="134">
        <f>9.8/(1+inflation_rate)</f>
        <v>9.2452830188679247</v>
      </c>
      <c r="E9" s="134">
        <f>3.2/(1+inflation_rate)</f>
        <v>3.0188679245283021</v>
      </c>
      <c r="F9" s="133">
        <f t="shared" si="0"/>
        <v>245308.42072773585</v>
      </c>
      <c r="G9" s="133">
        <f t="shared" si="1"/>
        <v>80100.70880905661</v>
      </c>
      <c r="H9" s="133">
        <f t="shared" si="2"/>
        <v>80100.70880905661</v>
      </c>
      <c r="I9" s="133">
        <f>F9</f>
        <v>245308.42072773585</v>
      </c>
    </row>
    <row r="10" spans="1:14" x14ac:dyDescent="0.2">
      <c r="A10" s="132" t="s">
        <v>835</v>
      </c>
      <c r="B10" s="133">
        <f>SUM(D92:D115)*10^-6</f>
        <v>389698.32232199999</v>
      </c>
      <c r="C10" s="132" t="s">
        <v>851</v>
      </c>
      <c r="D10" s="134">
        <f>3.4/(1+inflation_rate)</f>
        <v>3.2075471698113205</v>
      </c>
      <c r="E10" s="134">
        <f>0.8/(1+inflation_rate)</f>
        <v>0.75471698113207553</v>
      </c>
      <c r="F10" s="133">
        <f t="shared" si="0"/>
        <v>1249975.7508441508</v>
      </c>
      <c r="G10" s="133">
        <f t="shared" si="1"/>
        <v>294111.94137509435</v>
      </c>
      <c r="H10" s="133">
        <f t="shared" si="2"/>
        <v>294111.94137509435</v>
      </c>
      <c r="J10" s="133">
        <f>F10</f>
        <v>1249975.7508441508</v>
      </c>
    </row>
    <row r="11" spans="1:14" x14ac:dyDescent="0.2">
      <c r="A11" s="132" t="s">
        <v>836</v>
      </c>
      <c r="B11" s="133">
        <f>SUM(D116:D119)*10^-6</f>
        <v>13979.556701</v>
      </c>
      <c r="C11" s="132" t="s">
        <v>852</v>
      </c>
      <c r="D11" s="134">
        <f>10.8/(1+inflation_rate)</f>
        <v>10.188679245283019</v>
      </c>
      <c r="E11" s="134">
        <f>4.2/(1+inflation_rate)</f>
        <v>3.9622641509433962</v>
      </c>
      <c r="F11" s="133">
        <f t="shared" si="0"/>
        <v>142433.21921773584</v>
      </c>
      <c r="G11" s="133">
        <f t="shared" si="1"/>
        <v>55390.696362452829</v>
      </c>
      <c r="H11" s="133">
        <f t="shared" si="2"/>
        <v>55390.696362452829</v>
      </c>
      <c r="J11" s="133">
        <f>F11</f>
        <v>142433.21921773584</v>
      </c>
    </row>
    <row r="12" spans="1:14" x14ac:dyDescent="0.2">
      <c r="A12" s="132" t="s">
        <v>837</v>
      </c>
      <c r="B12" s="133">
        <f>SUM(D120:D121)*10^-6</f>
        <v>30959.606432999997</v>
      </c>
      <c r="C12" s="132" t="s">
        <v>852</v>
      </c>
      <c r="D12" s="134">
        <f>10.8/(1+inflation_rate)</f>
        <v>10.188679245283019</v>
      </c>
      <c r="E12" s="134">
        <f>4.2/(1+inflation_rate)</f>
        <v>3.9622641509433962</v>
      </c>
      <c r="F12" s="133">
        <f t="shared" si="0"/>
        <v>315437.49950603774</v>
      </c>
      <c r="G12" s="133">
        <f t="shared" si="1"/>
        <v>122670.13869679245</v>
      </c>
      <c r="H12" s="133">
        <f t="shared" si="2"/>
        <v>122670.13869679245</v>
      </c>
      <c r="J12" s="133">
        <f>F12</f>
        <v>315437.49950603774</v>
      </c>
    </row>
    <row r="13" spans="1:14" x14ac:dyDescent="0.2">
      <c r="A13" s="132" t="s">
        <v>838</v>
      </c>
      <c r="B13" s="133">
        <f>SUM(D122:D148)*10^-6</f>
        <v>414559.25652599998</v>
      </c>
      <c r="C13" s="132" t="s">
        <v>853</v>
      </c>
      <c r="D13" s="134">
        <f>3.5/(1+inflation_rate)</f>
        <v>3.3018867924528301</v>
      </c>
      <c r="E13" s="134">
        <f>0.1/(1+inflation_rate)</f>
        <v>9.4339622641509441E-2</v>
      </c>
      <c r="F13" s="133">
        <f t="shared" si="0"/>
        <v>1368827.7338122642</v>
      </c>
      <c r="G13" s="133">
        <f t="shared" si="1"/>
        <v>39109.363823207546</v>
      </c>
      <c r="H13" s="133">
        <f t="shared" si="2"/>
        <v>39109.363823207546</v>
      </c>
      <c r="L13" s="133">
        <f>F13</f>
        <v>1368827.7338122642</v>
      </c>
    </row>
    <row r="14" spans="1:14" x14ac:dyDescent="0.2">
      <c r="A14" s="132" t="s">
        <v>839</v>
      </c>
      <c r="B14" s="133">
        <f>SUM(D149:D160)*10^-6</f>
        <v>42204.613023999998</v>
      </c>
      <c r="C14" s="132" t="s">
        <v>857</v>
      </c>
      <c r="D14" s="134">
        <f>12.3/(1+inflation_rate)</f>
        <v>11.60377358490566</v>
      </c>
      <c r="E14" s="134">
        <f>1.5/(1+inflation_rate)</f>
        <v>1.4150943396226414</v>
      </c>
      <c r="F14" s="133">
        <f t="shared" si="0"/>
        <v>489732.7737690566</v>
      </c>
      <c r="G14" s="133">
        <f t="shared" si="1"/>
        <v>59723.50899622641</v>
      </c>
      <c r="H14" s="133">
        <f t="shared" si="2"/>
        <v>59723.50899622641</v>
      </c>
      <c r="M14" s="133">
        <f>F14</f>
        <v>489732.7737690566</v>
      </c>
    </row>
    <row r="15" spans="1:14" x14ac:dyDescent="0.2">
      <c r="A15" s="132" t="s">
        <v>840</v>
      </c>
      <c r="B15" s="133">
        <f>SUM(D161:D165)*10^-6</f>
        <v>44211.604915999997</v>
      </c>
      <c r="C15" s="132" t="s">
        <v>854</v>
      </c>
      <c r="D15" s="134">
        <v>0</v>
      </c>
      <c r="E15" s="134">
        <f>2.9/(1+inflation_rate)</f>
        <v>2.7358490566037732</v>
      </c>
      <c r="F15" s="133">
        <f t="shared" si="0"/>
        <v>0</v>
      </c>
      <c r="G15" s="133">
        <f t="shared" si="1"/>
        <v>120956.27760037733</v>
      </c>
      <c r="H15" s="133">
        <f t="shared" si="2"/>
        <v>120956.27760037733</v>
      </c>
      <c r="K15" s="133">
        <f>F15</f>
        <v>0</v>
      </c>
    </row>
    <row r="16" spans="1:14" x14ac:dyDescent="0.2">
      <c r="A16" s="132" t="s">
        <v>841</v>
      </c>
      <c r="B16" s="133">
        <f>D166*10^-6</f>
        <v>8765.6382119999998</v>
      </c>
      <c r="C16" s="132" t="s">
        <v>855</v>
      </c>
      <c r="D16" s="134">
        <f>10.6/(1+inflation_rate)</f>
        <v>10</v>
      </c>
      <c r="E16" s="134">
        <f>3.6/(1+inflation_rate)</f>
        <v>3.3962264150943398</v>
      </c>
      <c r="F16" s="133">
        <f t="shared" si="0"/>
        <v>87656.382119999995</v>
      </c>
      <c r="G16" s="133">
        <f t="shared" si="1"/>
        <v>29770.092040754716</v>
      </c>
      <c r="H16" s="133">
        <f t="shared" si="2"/>
        <v>29770.092040754716</v>
      </c>
      <c r="K16" s="133">
        <f>F16</f>
        <v>87656.382119999995</v>
      </c>
    </row>
    <row r="17" spans="1:13" x14ac:dyDescent="0.2">
      <c r="A17" s="132" t="s">
        <v>842</v>
      </c>
      <c r="B17" s="133">
        <f>D167*10^-6</f>
        <v>20085.531805999999</v>
      </c>
      <c r="C17" s="132" t="s">
        <v>856</v>
      </c>
      <c r="D17" s="134">
        <f>21.8/(1+inflation_rate)</f>
        <v>20.566037735849058</v>
      </c>
      <c r="E17" s="134">
        <f>11.9/(1+inflation_rate)</f>
        <v>11.226415094339622</v>
      </c>
      <c r="F17" s="133">
        <f t="shared" si="0"/>
        <v>413079.80506679247</v>
      </c>
      <c r="G17" s="133">
        <f t="shared" si="1"/>
        <v>225488.51744471694</v>
      </c>
      <c r="H17" s="133">
        <f t="shared" si="2"/>
        <v>225488.51744471694</v>
      </c>
      <c r="K17" s="133">
        <f>F17</f>
        <v>413079.80506679247</v>
      </c>
    </row>
    <row r="18" spans="1:13" x14ac:dyDescent="0.2">
      <c r="A18" s="123" t="s">
        <v>93</v>
      </c>
      <c r="B18" s="133">
        <f>SUM(B5:B17)</f>
        <v>1152636.0716659999</v>
      </c>
      <c r="F18" s="133">
        <f>SUM(F5:F17)</f>
        <v>4582499.0813626414</v>
      </c>
      <c r="G18" s="133">
        <f t="shared" ref="G18:M18" si="3">SUM(G5:G17)</f>
        <v>1306037.6152820755</v>
      </c>
      <c r="H18" s="133">
        <f t="shared" si="3"/>
        <v>1306037.6152820755</v>
      </c>
      <c r="I18" s="133">
        <f t="shared" si="3"/>
        <v>515355.91702660377</v>
      </c>
      <c r="J18" s="133">
        <f t="shared" si="3"/>
        <v>1707846.4695679243</v>
      </c>
      <c r="K18" s="133">
        <f t="shared" si="3"/>
        <v>500736.18718679249</v>
      </c>
      <c r="L18" s="133">
        <f t="shared" si="3"/>
        <v>1368827.7338122642</v>
      </c>
      <c r="M18" s="133">
        <f t="shared" si="3"/>
        <v>489732.7737690566</v>
      </c>
    </row>
    <row r="19" spans="1:13" x14ac:dyDescent="0.2">
      <c r="A19" s="125" t="s">
        <v>846</v>
      </c>
    </row>
    <row r="20" spans="1:13" x14ac:dyDescent="0.2">
      <c r="A20" s="125"/>
    </row>
    <row r="21" spans="1:13" x14ac:dyDescent="0.2">
      <c r="A21" s="124" t="s">
        <v>865</v>
      </c>
    </row>
    <row r="22" spans="1:13" x14ac:dyDescent="0.2">
      <c r="A22" s="125"/>
    </row>
    <row r="23" spans="1:13" ht="30" x14ac:dyDescent="0.2">
      <c r="A23" s="126" t="str">
        <f>PlasticsUse!A26</f>
        <v>Resin Type</v>
      </c>
      <c r="B23" s="127" t="str">
        <f>H4</f>
        <v>Packaging</v>
      </c>
      <c r="C23" s="127" t="str">
        <f t="shared" ref="C23:G23" si="4">I4</f>
        <v>Textiles, Fibers and Apparel</v>
      </c>
      <c r="D23" s="127" t="str">
        <f t="shared" si="4"/>
        <v>Electrical/Electronic</v>
      </c>
      <c r="E23" s="127" t="str">
        <f t="shared" si="4"/>
        <v>Consumer and Institutional</v>
      </c>
      <c r="F23" s="127" t="str">
        <f t="shared" si="4"/>
        <v>Transportation</v>
      </c>
      <c r="G23" s="127" t="str">
        <f t="shared" si="4"/>
        <v>Furniture and Furnishings</v>
      </c>
      <c r="H23" s="129" t="s">
        <v>13</v>
      </c>
    </row>
    <row r="24" spans="1:13" x14ac:dyDescent="0.2">
      <c r="A24" s="128" t="str">
        <f>PlasticsUse!A27</f>
        <v>Polyurethane</v>
      </c>
      <c r="B24" s="135">
        <f>H$18*(INDEX(PlasticsUse!$B$71:$J$87,MATCH('Imports - Products'!$A24,PlasticsUse!$A$27:$A$43,0),MATCH('Imports - Products'!B$23,PlasticsUse!$B$26:$J$26,0))/(INDEX(PlasticsUse!$B$88:$J$88,1,MATCH('Imports - Products'!B$23,PlasticsUse!$B$93:$J$93,0))))</f>
        <v>435307.15382209723</v>
      </c>
      <c r="C24" s="135">
        <f>I$18*(INDEX(PlasticsUse!$B$71:$J$87,MATCH('Imports - Products'!$A24,PlasticsUse!$A$27:$A$43,0),MATCH('Imports - Products'!C$23,PlasticsUse!$B$26:$J$26,0))/(INDEX(PlasticsUse!$B$88:$J$88,1,MATCH('Imports - Products'!C$23,PlasticsUse!$B$93:$J$93,0))))</f>
        <v>365216.03508149774</v>
      </c>
      <c r="D24" s="135">
        <f>J$18*(INDEX(PlasticsUse!$B$71:$J$87,MATCH('Imports - Products'!$A24,PlasticsUse!$A$27:$A$43,0),MATCH('Imports - Products'!D$23,PlasticsUse!$B$26:$J$26,0))/(INDEX(PlasticsUse!$B$88:$J$88,1,MATCH('Imports - Products'!D$23,PlasticsUse!$B$93:$J$93,0))))</f>
        <v>711512.19667875231</v>
      </c>
      <c r="E24" s="135">
        <f>K$18*(INDEX(PlasticsUse!$B$71:$J$87,MATCH('Imports - Products'!$A24,PlasticsUse!$A$27:$A$43,0),MATCH('Imports - Products'!E$23,PlasticsUse!$B$26:$J$26,0))/(INDEX(PlasticsUse!$B$88:$J$88,1,MATCH('Imports - Products'!E$23,PlasticsUse!$B$93:$J$93,0))))</f>
        <v>266966.92704760662</v>
      </c>
      <c r="F24" s="135">
        <f>L$18*(INDEX(PlasticsUse!$B$71:$J$87,MATCH('Imports - Products'!$A24,PlasticsUse!$A$27:$A$43,0),MATCH('Imports - Products'!F$23,PlasticsUse!$B$26:$J$26,0))/(INDEX(PlasticsUse!$B$88:$J$88,1,MATCH('Imports - Products'!F$23,PlasticsUse!$B$93:$J$93,0))))</f>
        <v>557172.19943835039</v>
      </c>
      <c r="G24" s="135">
        <f>M$18*(INDEX(PlasticsUse!$B$71:$J$87,MATCH('Imports - Products'!$A24,PlasticsUse!$A$27:$A$43,0),MATCH('Imports - Products'!G$23,PlasticsUse!$B$26:$J$26,0))/(INDEX(PlasticsUse!$B$88:$J$88,1,MATCH('Imports - Products'!G$23,PlasticsUse!$B$93:$J$93,0))))</f>
        <v>268177.36521480401</v>
      </c>
      <c r="H24" s="135">
        <f>SUM(B24:G24)</f>
        <v>2604351.8772831084</v>
      </c>
    </row>
    <row r="25" spans="1:13" x14ac:dyDescent="0.2">
      <c r="A25" s="128" t="str">
        <f>PlasticsUse!A28</f>
        <v>Other thermosets</v>
      </c>
      <c r="B25" s="135">
        <f>H$18*(INDEX(PlasticsUse!$B$71:$J$87,MATCH('Imports - Products'!$A25,PlasticsUse!$A$27:$A$43,0),MATCH('Imports - Products'!B$23,PlasticsUse!$B$26:$J$26,0))/(INDEX(PlasticsUse!$B$88:$J$88,1,MATCH('Imports - Products'!B$23,PlasticsUse!$B$93:$J$93,0))))</f>
        <v>0</v>
      </c>
      <c r="C25" s="135">
        <f>I$18*(INDEX(PlasticsUse!$B$71:$J$87,MATCH('Imports - Products'!$A25,PlasticsUse!$A$27:$A$43,0),MATCH('Imports - Products'!C$23,PlasticsUse!$B$26:$J$26,0))/(INDEX(PlasticsUse!$B$88:$J$88,1,MATCH('Imports - Products'!C$23,PlasticsUse!$B$93:$J$93,0))))</f>
        <v>0</v>
      </c>
      <c r="D25" s="135">
        <f>J$18*(INDEX(PlasticsUse!$B$71:$J$87,MATCH('Imports - Products'!$A25,PlasticsUse!$A$27:$A$43,0),MATCH('Imports - Products'!D$23,PlasticsUse!$B$26:$J$26,0))/(INDEX(PlasticsUse!$B$88:$J$88,1,MATCH('Imports - Products'!D$23,PlasticsUse!$B$93:$J$93,0))))</f>
        <v>0</v>
      </c>
      <c r="E25" s="135">
        <f>K$18*(INDEX(PlasticsUse!$B$71:$J$87,MATCH('Imports - Products'!$A25,PlasticsUse!$A$27:$A$43,0),MATCH('Imports - Products'!E$23,PlasticsUse!$B$26:$J$26,0))/(INDEX(PlasticsUse!$B$88:$J$88,1,MATCH('Imports - Products'!E$23,PlasticsUse!$B$93:$J$93,0))))</f>
        <v>0</v>
      </c>
      <c r="F25" s="135">
        <f>L$18*(INDEX(PlasticsUse!$B$71:$J$87,MATCH('Imports - Products'!$A25,PlasticsUse!$A$27:$A$43,0),MATCH('Imports - Products'!F$23,PlasticsUse!$B$26:$J$26,0))/(INDEX(PlasticsUse!$B$88:$J$88,1,MATCH('Imports - Products'!F$23,PlasticsUse!$B$93:$J$93,0))))</f>
        <v>0</v>
      </c>
      <c r="G25" s="135">
        <f>M$18*(INDEX(PlasticsUse!$B$71:$J$87,MATCH('Imports - Products'!$A25,PlasticsUse!$A$27:$A$43,0),MATCH('Imports - Products'!G$23,PlasticsUse!$B$26:$J$26,0))/(INDEX(PlasticsUse!$B$88:$J$88,1,MATCH('Imports - Products'!G$23,PlasticsUse!$B$93:$J$93,0))))</f>
        <v>0</v>
      </c>
      <c r="H25" s="135">
        <f t="shared" ref="H25:H41" si="5">SUM(B25:G25)</f>
        <v>0</v>
      </c>
    </row>
    <row r="26" spans="1:13" x14ac:dyDescent="0.2">
      <c r="A26" s="128" t="str">
        <f>PlasticsUse!A29</f>
        <v>LDPE</v>
      </c>
      <c r="B26" s="135">
        <f>H$18*(INDEX(PlasticsUse!$B$71:$J$87,MATCH('Imports - Products'!$A26,PlasticsUse!$A$27:$A$43,0),MATCH('Imports - Products'!B$23,PlasticsUse!$B$26:$J$26,0))/(INDEX(PlasticsUse!$B$88:$J$88,1,MATCH('Imports - Products'!B$23,PlasticsUse!$B$93:$J$93,0))))</f>
        <v>46433.292373061784</v>
      </c>
      <c r="C26" s="135">
        <f>I$18*(INDEX(PlasticsUse!$B$71:$J$87,MATCH('Imports - Products'!$A26,PlasticsUse!$A$27:$A$43,0),MATCH('Imports - Products'!C$23,PlasticsUse!$B$26:$J$26,0))/(INDEX(PlasticsUse!$B$88:$J$88,1,MATCH('Imports - Products'!C$23,PlasticsUse!$B$93:$J$93,0))))</f>
        <v>0</v>
      </c>
      <c r="D26" s="135">
        <f>J$18*(INDEX(PlasticsUse!$B$71:$J$87,MATCH('Imports - Products'!$A26,PlasticsUse!$A$27:$A$43,0),MATCH('Imports - Products'!D$23,PlasticsUse!$B$26:$J$26,0))/(INDEX(PlasticsUse!$B$88:$J$88,1,MATCH('Imports - Products'!D$23,PlasticsUse!$B$93:$J$93,0))))</f>
        <v>75895.499454359902</v>
      </c>
      <c r="E26" s="135">
        <f>K$18*(INDEX(PlasticsUse!$B$71:$J$87,MATCH('Imports - Products'!$A26,PlasticsUse!$A$27:$A$43,0),MATCH('Imports - Products'!E$23,PlasticsUse!$B$26:$J$26,0))/(INDEX(PlasticsUse!$B$88:$J$88,1,MATCH('Imports - Products'!E$23,PlasticsUse!$B$93:$J$93,0))))</f>
        <v>28476.79682885587</v>
      </c>
      <c r="F26" s="135">
        <f>L$18*(INDEX(PlasticsUse!$B$71:$J$87,MATCH('Imports - Products'!$A26,PlasticsUse!$A$27:$A$43,0),MATCH('Imports - Products'!F$23,PlasticsUse!$B$26:$J$26,0))/(INDEX(PlasticsUse!$B$88:$J$88,1,MATCH('Imports - Products'!F$23,PlasticsUse!$B$93:$J$93,0))))</f>
        <v>59432.378750283533</v>
      </c>
      <c r="G26" s="135">
        <f>M$18*(INDEX(PlasticsUse!$B$71:$J$87,MATCH('Imports - Products'!$A26,PlasticsUse!$A$27:$A$43,0),MATCH('Imports - Products'!G$23,PlasticsUse!$B$26:$J$26,0))/(INDEX(PlasticsUse!$B$88:$J$88,1,MATCH('Imports - Products'!G$23,PlasticsUse!$B$93:$J$93,0))))</f>
        <v>28605.91170515299</v>
      </c>
      <c r="H26" s="135">
        <f t="shared" si="5"/>
        <v>238843.87911171408</v>
      </c>
    </row>
    <row r="27" spans="1:13" x14ac:dyDescent="0.2">
      <c r="A27" s="128" t="str">
        <f>PlasticsUse!A30</f>
        <v>LLDPE</v>
      </c>
      <c r="B27" s="135">
        <f>H$18*(INDEX(PlasticsUse!$B$71:$J$87,MATCH('Imports - Products'!$A27,PlasticsUse!$A$27:$A$43,0),MATCH('Imports - Products'!B$23,PlasticsUse!$B$26:$J$26,0))/(INDEX(PlasticsUse!$B$88:$J$88,1,MATCH('Imports - Products'!B$23,PlasticsUse!$B$93:$J$93,0))))</f>
        <v>40291.105325201941</v>
      </c>
      <c r="C27" s="135">
        <f>I$18*(INDEX(PlasticsUse!$B$71:$J$87,MATCH('Imports - Products'!$A27,PlasticsUse!$A$27:$A$43,0),MATCH('Imports - Products'!C$23,PlasticsUse!$B$26:$J$26,0))/(INDEX(PlasticsUse!$B$88:$J$88,1,MATCH('Imports - Products'!C$23,PlasticsUse!$B$93:$J$93,0))))</f>
        <v>0</v>
      </c>
      <c r="D27" s="135">
        <f>J$18*(INDEX(PlasticsUse!$B$71:$J$87,MATCH('Imports - Products'!$A27,PlasticsUse!$A$27:$A$43,0),MATCH('Imports - Products'!D$23,PlasticsUse!$B$26:$J$26,0))/(INDEX(PlasticsUse!$B$88:$J$88,1,MATCH('Imports - Products'!D$23,PlasticsUse!$B$93:$J$93,0))))</f>
        <v>65856.057280109351</v>
      </c>
      <c r="E27" s="135">
        <f>K$18*(INDEX(PlasticsUse!$B$71:$J$87,MATCH('Imports - Products'!$A27,PlasticsUse!$A$27:$A$43,0),MATCH('Imports - Products'!E$23,PlasticsUse!$B$26:$J$26,0))/(INDEX(PlasticsUse!$B$88:$J$88,1,MATCH('Imports - Products'!E$23,PlasticsUse!$B$93:$J$93,0))))</f>
        <v>24709.891582476903</v>
      </c>
      <c r="F27" s="135">
        <f>L$18*(INDEX(PlasticsUse!$B$71:$J$87,MATCH('Imports - Products'!$A27,PlasticsUse!$A$27:$A$43,0),MATCH('Imports - Products'!F$23,PlasticsUse!$B$26:$J$26,0))/(INDEX(PlasticsUse!$B$88:$J$88,1,MATCH('Imports - Products'!F$23,PlasticsUse!$B$93:$J$93,0))))</f>
        <v>51570.675038847541</v>
      </c>
      <c r="G27" s="135">
        <f>M$18*(INDEX(PlasticsUse!$B$71:$J$87,MATCH('Imports - Products'!$A27,PlasticsUse!$A$27:$A$43,0),MATCH('Imports - Products'!G$23,PlasticsUse!$B$26:$J$26,0))/(INDEX(PlasticsUse!$B$88:$J$88,1,MATCH('Imports - Products'!G$23,PlasticsUse!$B$93:$J$93,0))))</f>
        <v>24821.927167594178</v>
      </c>
      <c r="H27" s="135">
        <f t="shared" si="5"/>
        <v>207249.65639422991</v>
      </c>
    </row>
    <row r="28" spans="1:13" x14ac:dyDescent="0.2">
      <c r="A28" s="128" t="str">
        <f>PlasticsUse!A31</f>
        <v>HDPE</v>
      </c>
      <c r="B28" s="135">
        <f>H$18*(INDEX(PlasticsUse!$B$71:$J$87,MATCH('Imports - Products'!$A28,PlasticsUse!$A$27:$A$43,0),MATCH('Imports - Products'!B$23,PlasticsUse!$B$26:$J$26,0))/(INDEX(PlasticsUse!$B$88:$J$88,1,MATCH('Imports - Products'!B$23,PlasticsUse!$B$93:$J$93,0))))</f>
        <v>56345.15290567097</v>
      </c>
      <c r="C28" s="135">
        <f>I$18*(INDEX(PlasticsUse!$B$71:$J$87,MATCH('Imports - Products'!$A28,PlasticsUse!$A$27:$A$43,0),MATCH('Imports - Products'!C$23,PlasticsUse!$B$26:$J$26,0))/(INDEX(PlasticsUse!$B$88:$J$88,1,MATCH('Imports - Products'!C$23,PlasticsUse!$B$93:$J$93,0))))</f>
        <v>0</v>
      </c>
      <c r="D28" s="135">
        <f>J$18*(INDEX(PlasticsUse!$B$71:$J$87,MATCH('Imports - Products'!$A28,PlasticsUse!$A$27:$A$43,0),MATCH('Imports - Products'!D$23,PlasticsUse!$B$26:$J$26,0))/(INDEX(PlasticsUse!$B$88:$J$88,1,MATCH('Imports - Products'!D$23,PlasticsUse!$B$93:$J$93,0))))</f>
        <v>92096.495920437723</v>
      </c>
      <c r="E28" s="135">
        <f>K$18*(INDEX(PlasticsUse!$B$71:$J$87,MATCH('Imports - Products'!$A28,PlasticsUse!$A$27:$A$43,0),MATCH('Imports - Products'!E$23,PlasticsUse!$B$26:$J$26,0))/(INDEX(PlasticsUse!$B$88:$J$88,1,MATCH('Imports - Products'!E$23,PlasticsUse!$B$93:$J$93,0))))</f>
        <v>34555.582634421931</v>
      </c>
      <c r="F28" s="135">
        <f>L$18*(INDEX(PlasticsUse!$B$71:$J$87,MATCH('Imports - Products'!$A28,PlasticsUse!$A$27:$A$43,0),MATCH('Imports - Products'!F$23,PlasticsUse!$B$26:$J$26,0))/(INDEX(PlasticsUse!$B$88:$J$88,1,MATCH('Imports - Products'!F$23,PlasticsUse!$B$93:$J$93,0))))</f>
        <v>72119.083034810508</v>
      </c>
      <c r="G28" s="135">
        <f>M$18*(INDEX(PlasticsUse!$B$71:$J$87,MATCH('Imports - Products'!$A28,PlasticsUse!$A$27:$A$43,0),MATCH('Imports - Products'!G$23,PlasticsUse!$B$26:$J$26,0))/(INDEX(PlasticsUse!$B$88:$J$88,1,MATCH('Imports - Products'!G$23,PlasticsUse!$B$93:$J$93,0))))</f>
        <v>34712.258955991121</v>
      </c>
      <c r="H28" s="135">
        <f t="shared" si="5"/>
        <v>289828.57345133228</v>
      </c>
    </row>
    <row r="29" spans="1:13" x14ac:dyDescent="0.2">
      <c r="A29" s="128" t="str">
        <f>PlasticsUse!A32</f>
        <v>PP</v>
      </c>
      <c r="B29" s="135">
        <f>H$18*(INDEX(PlasticsUse!$B$71:$J$87,MATCH('Imports - Products'!$A29,PlasticsUse!$A$27:$A$43,0),MATCH('Imports - Products'!B$23,PlasticsUse!$B$26:$J$26,0))/(INDEX(PlasticsUse!$B$88:$J$88,1,MATCH('Imports - Products'!B$23,PlasticsUse!$B$93:$J$93,0))))</f>
        <v>43341.873458448157</v>
      </c>
      <c r="C29" s="135">
        <f>I$18*(INDEX(PlasticsUse!$B$71:$J$87,MATCH('Imports - Products'!$A29,PlasticsUse!$A$27:$A$43,0),MATCH('Imports - Products'!C$23,PlasticsUse!$B$26:$J$26,0))/(INDEX(PlasticsUse!$B$88:$J$88,1,MATCH('Imports - Products'!C$23,PlasticsUse!$B$93:$J$93,0))))</f>
        <v>0</v>
      </c>
      <c r="D29" s="135">
        <f>J$18*(INDEX(PlasticsUse!$B$71:$J$87,MATCH('Imports - Products'!$A29,PlasticsUse!$A$27:$A$43,0),MATCH('Imports - Products'!D$23,PlasticsUse!$B$26:$J$26,0))/(INDEX(PlasticsUse!$B$88:$J$88,1,MATCH('Imports - Products'!D$23,PlasticsUse!$B$93:$J$93,0))))</f>
        <v>70842.556392252722</v>
      </c>
      <c r="E29" s="135">
        <f>K$18*(INDEX(PlasticsUse!$B$71:$J$87,MATCH('Imports - Products'!$A29,PlasticsUse!$A$27:$A$43,0),MATCH('Imports - Products'!E$23,PlasticsUse!$B$26:$J$26,0))/(INDEX(PlasticsUse!$B$88:$J$88,1,MATCH('Imports - Products'!E$23,PlasticsUse!$B$93:$J$93,0))))</f>
        <v>26580.878968088215</v>
      </c>
      <c r="F29" s="135">
        <f>L$18*(INDEX(PlasticsUse!$B$71:$J$87,MATCH('Imports - Products'!$A29,PlasticsUse!$A$27:$A$43,0),MATCH('Imports - Products'!F$23,PlasticsUse!$B$26:$J$26,0))/(INDEX(PlasticsUse!$B$88:$J$88,1,MATCH('Imports - Products'!F$23,PlasticsUse!$B$93:$J$93,0))))</f>
        <v>55475.51137303724</v>
      </c>
      <c r="G29" s="135">
        <f>M$18*(INDEX(PlasticsUse!$B$71:$J$87,MATCH('Imports - Products'!$A29,PlasticsUse!$A$27:$A$43,0),MATCH('Imports - Products'!G$23,PlasticsUse!$B$26:$J$26,0))/(INDEX(PlasticsUse!$B$88:$J$88,1,MATCH('Imports - Products'!G$23,PlasticsUse!$B$93:$J$93,0))))</f>
        <v>26701.397680935712</v>
      </c>
      <c r="H29" s="135">
        <f t="shared" si="5"/>
        <v>222942.21787276203</v>
      </c>
    </row>
    <row r="30" spans="1:13" x14ac:dyDescent="0.2">
      <c r="A30" s="128" t="str">
        <f>PlasticsUse!A33</f>
        <v>PS</v>
      </c>
      <c r="B30" s="135">
        <f>H$18*(INDEX(PlasticsUse!$B$71:$J$87,MATCH('Imports - Products'!$A30,PlasticsUse!$A$27:$A$43,0),MATCH('Imports - Products'!B$23,PlasticsUse!$B$26:$J$26,0))/(INDEX(PlasticsUse!$B$88:$J$88,1,MATCH('Imports - Products'!B$23,PlasticsUse!$B$93:$J$93,0))))</f>
        <v>40433.925559432857</v>
      </c>
      <c r="C30" s="135">
        <f>I$18*(INDEX(PlasticsUse!$B$71:$J$87,MATCH('Imports - Products'!$A30,PlasticsUse!$A$27:$A$43,0),MATCH('Imports - Products'!C$23,PlasticsUse!$B$26:$J$26,0))/(INDEX(PlasticsUse!$B$88:$J$88,1,MATCH('Imports - Products'!C$23,PlasticsUse!$B$93:$J$93,0))))</f>
        <v>0</v>
      </c>
      <c r="D30" s="135">
        <f>J$18*(INDEX(PlasticsUse!$B$71:$J$87,MATCH('Imports - Products'!$A30,PlasticsUse!$A$27:$A$43,0),MATCH('Imports - Products'!D$23,PlasticsUse!$B$26:$J$26,0))/(INDEX(PlasticsUse!$B$88:$J$88,1,MATCH('Imports - Products'!D$23,PlasticsUse!$B$93:$J$93,0))))</f>
        <v>66089.497823632642</v>
      </c>
      <c r="E30" s="135">
        <f>K$18*(INDEX(PlasticsUse!$B$71:$J$87,MATCH('Imports - Products'!$A30,PlasticsUse!$A$27:$A$43,0),MATCH('Imports - Products'!E$23,PlasticsUse!$B$26:$J$26,0))/(INDEX(PlasticsUse!$B$88:$J$88,1,MATCH('Imports - Products'!E$23,PlasticsUse!$B$93:$J$93,0))))</f>
        <v>24797.480951771828</v>
      </c>
      <c r="F30" s="135">
        <f>L$18*(INDEX(PlasticsUse!$B$71:$J$87,MATCH('Imports - Products'!$A30,PlasticsUse!$A$27:$A$43,0),MATCH('Imports - Products'!F$23,PlasticsUse!$B$26:$J$26,0))/(INDEX(PlasticsUse!$B$88:$J$88,1,MATCH('Imports - Products'!F$23,PlasticsUse!$B$93:$J$93,0))))</f>
        <v>51753.47806271712</v>
      </c>
      <c r="G30" s="135">
        <f>M$18*(INDEX(PlasticsUse!$B$71:$J$87,MATCH('Imports - Products'!$A30,PlasticsUse!$A$27:$A$43,0),MATCH('Imports - Products'!G$23,PlasticsUse!$B$26:$J$26,0))/(INDEX(PlasticsUse!$B$88:$J$88,1,MATCH('Imports - Products'!G$23,PlasticsUse!$B$93:$J$93,0))))</f>
        <v>24909.913670409755</v>
      </c>
      <c r="H30" s="135">
        <f t="shared" si="5"/>
        <v>207984.29606796423</v>
      </c>
    </row>
    <row r="31" spans="1:13" x14ac:dyDescent="0.2">
      <c r="A31" s="128" t="str">
        <f>PlasticsUse!A34</f>
        <v>EPS</v>
      </c>
      <c r="B31" s="135">
        <f>H$18*(INDEX(PlasticsUse!$B$71:$J$87,MATCH('Imports - Products'!$A31,PlasticsUse!$A$27:$A$43,0),MATCH('Imports - Products'!B$23,PlasticsUse!$B$26:$J$26,0))/(INDEX(PlasticsUse!$B$88:$J$88,1,MATCH('Imports - Products'!B$23,PlasticsUse!$B$93:$J$93,0))))</f>
        <v>41521.132704976044</v>
      </c>
      <c r="C31" s="135">
        <f>I$18*(INDEX(PlasticsUse!$B$71:$J$87,MATCH('Imports - Products'!$A31,PlasticsUse!$A$27:$A$43,0),MATCH('Imports - Products'!C$23,PlasticsUse!$B$26:$J$26,0))/(INDEX(PlasticsUse!$B$88:$J$88,1,MATCH('Imports - Products'!C$23,PlasticsUse!$B$93:$J$93,0))))</f>
        <v>0</v>
      </c>
      <c r="D31" s="135">
        <f>J$18*(INDEX(PlasticsUse!$B$71:$J$87,MATCH('Imports - Products'!$A31,PlasticsUse!$A$27:$A$43,0),MATCH('Imports - Products'!D$23,PlasticsUse!$B$26:$J$26,0))/(INDEX(PlasticsUse!$B$88:$J$88,1,MATCH('Imports - Products'!D$23,PlasticsUse!$B$93:$J$93,0))))</f>
        <v>67866.544530947751</v>
      </c>
      <c r="E31" s="135">
        <f>K$18*(INDEX(PlasticsUse!$B$71:$J$87,MATCH('Imports - Products'!$A31,PlasticsUse!$A$27:$A$43,0),MATCH('Imports - Products'!E$23,PlasticsUse!$B$26:$J$26,0))/(INDEX(PlasticsUse!$B$88:$J$88,1,MATCH('Imports - Products'!E$23,PlasticsUse!$B$93:$J$93,0))))</f>
        <v>25464.24773509119</v>
      </c>
      <c r="F31" s="135">
        <f>L$18*(INDEX(PlasticsUse!$B$71:$J$87,MATCH('Imports - Products'!$A31,PlasticsUse!$A$27:$A$43,0),MATCH('Imports - Products'!F$23,PlasticsUse!$B$26:$J$26,0))/(INDEX(PlasticsUse!$B$88:$J$88,1,MATCH('Imports - Products'!F$23,PlasticsUse!$B$93:$J$93,0))))</f>
        <v>53145.050866445861</v>
      </c>
      <c r="G31" s="135">
        <f>M$18*(INDEX(PlasticsUse!$B$71:$J$87,MATCH('Imports - Products'!$A31,PlasticsUse!$A$27:$A$43,0),MATCH('Imports - Products'!G$23,PlasticsUse!$B$26:$J$26,0))/(INDEX(PlasticsUse!$B$88:$J$88,1,MATCH('Imports - Products'!G$23,PlasticsUse!$B$93:$J$93,0))))</f>
        <v>25579.703599599936</v>
      </c>
      <c r="H31" s="135">
        <f t="shared" si="5"/>
        <v>213576.67943706078</v>
      </c>
    </row>
    <row r="32" spans="1:13" x14ac:dyDescent="0.2">
      <c r="A32" s="128" t="str">
        <f>PlasticsUse!A35</f>
        <v>PVC</v>
      </c>
      <c r="B32" s="135">
        <f>H$18*(INDEX(PlasticsUse!$B$71:$J$87,MATCH('Imports - Products'!$A32,PlasticsUse!$A$27:$A$43,0),MATCH('Imports - Products'!B$23,PlasticsUse!$B$26:$J$26,0))/(INDEX(PlasticsUse!$B$88:$J$88,1,MATCH('Imports - Products'!B$23,PlasticsUse!$B$93:$J$93,0))))</f>
        <v>42486.60442094045</v>
      </c>
      <c r="C32" s="135">
        <f>I$18*(INDEX(PlasticsUse!$B$71:$J$87,MATCH('Imports - Products'!$A32,PlasticsUse!$A$27:$A$43,0),MATCH('Imports - Products'!C$23,PlasticsUse!$B$26:$J$26,0))/(INDEX(PlasticsUse!$B$88:$J$88,1,MATCH('Imports - Products'!C$23,PlasticsUse!$B$93:$J$93,0))))</f>
        <v>0</v>
      </c>
      <c r="D32" s="135">
        <f>J$18*(INDEX(PlasticsUse!$B$71:$J$87,MATCH('Imports - Products'!$A32,PlasticsUse!$A$27:$A$43,0),MATCH('Imports - Products'!D$23,PlasticsUse!$B$26:$J$26,0))/(INDEX(PlasticsUse!$B$88:$J$88,1,MATCH('Imports - Products'!D$23,PlasticsUse!$B$93:$J$93,0))))</f>
        <v>69444.613936482463</v>
      </c>
      <c r="E32" s="135">
        <f>K$18*(INDEX(PlasticsUse!$B$71:$J$87,MATCH('Imports - Products'!$A32,PlasticsUse!$A$27:$A$43,0),MATCH('Imports - Products'!E$23,PlasticsUse!$B$26:$J$26,0))/(INDEX(PlasticsUse!$B$88:$J$88,1,MATCH('Imports - Products'!E$23,PlasticsUse!$B$93:$J$93,0))))</f>
        <v>26056.356123155343</v>
      </c>
      <c r="F32" s="135">
        <f>L$18*(INDEX(PlasticsUse!$B$71:$J$87,MATCH('Imports - Products'!$A32,PlasticsUse!$A$27:$A$43,0),MATCH('Imports - Products'!F$23,PlasticsUse!$B$26:$J$26,0))/(INDEX(PlasticsUse!$B$88:$J$88,1,MATCH('Imports - Products'!F$23,PlasticsUse!$B$93:$J$93,0))))</f>
        <v>54380.808181151624</v>
      </c>
      <c r="G32" s="135">
        <f>M$18*(INDEX(PlasticsUse!$B$71:$J$87,MATCH('Imports - Products'!$A32,PlasticsUse!$A$27:$A$43,0),MATCH('Imports - Products'!G$23,PlasticsUse!$B$26:$J$26,0))/(INDEX(PlasticsUse!$B$88:$J$88,1,MATCH('Imports - Products'!G$23,PlasticsUse!$B$93:$J$93,0))))</f>
        <v>26174.496629540732</v>
      </c>
      <c r="H32" s="135">
        <f t="shared" si="5"/>
        <v>218542.8792912706</v>
      </c>
    </row>
    <row r="33" spans="1:8" x14ac:dyDescent="0.2">
      <c r="A33" s="128" t="str">
        <f>PlasticsUse!A36</f>
        <v>PET</v>
      </c>
      <c r="B33" s="135">
        <f>H$18*(INDEX(PlasticsUse!$B$71:$J$87,MATCH('Imports - Products'!$A33,PlasticsUse!$A$27:$A$43,0),MATCH('Imports - Products'!B$23,PlasticsUse!$B$26:$J$26,0))/(INDEX(PlasticsUse!$B$88:$J$88,1,MATCH('Imports - Products'!B$23,PlasticsUse!$B$93:$J$93,0))))</f>
        <v>521297.65829887456</v>
      </c>
      <c r="C33" s="135">
        <f>I$18*(INDEX(PlasticsUse!$B$71:$J$87,MATCH('Imports - Products'!$A33,PlasticsUse!$A$27:$A$43,0),MATCH('Imports - Products'!C$23,PlasticsUse!$B$26:$J$26,0))/(INDEX(PlasticsUse!$B$88:$J$88,1,MATCH('Imports - Products'!C$23,PlasticsUse!$B$93:$J$93,0))))</f>
        <v>0</v>
      </c>
      <c r="D33" s="135">
        <f>J$18*(INDEX(PlasticsUse!$B$71:$J$87,MATCH('Imports - Products'!$A33,PlasticsUse!$A$27:$A$43,0),MATCH('Imports - Products'!D$23,PlasticsUse!$B$26:$J$26,0))/(INDEX(PlasticsUse!$B$88:$J$88,1,MATCH('Imports - Products'!D$23,PlasticsUse!$B$93:$J$93,0))))</f>
        <v>0</v>
      </c>
      <c r="E33" s="135">
        <f>K$18*(INDEX(PlasticsUse!$B$71:$J$87,MATCH('Imports - Products'!$A33,PlasticsUse!$A$27:$A$43,0),MATCH('Imports - Products'!E$23,PlasticsUse!$B$26:$J$26,0))/(INDEX(PlasticsUse!$B$88:$J$88,1,MATCH('Imports - Products'!E$23,PlasticsUse!$B$93:$J$93,0))))</f>
        <v>0</v>
      </c>
      <c r="F33" s="135">
        <f>L$18*(INDEX(PlasticsUse!$B$71:$J$87,MATCH('Imports - Products'!$A33,PlasticsUse!$A$27:$A$43,0),MATCH('Imports - Products'!F$23,PlasticsUse!$B$26:$J$26,0))/(INDEX(PlasticsUse!$B$88:$J$88,1,MATCH('Imports - Products'!F$23,PlasticsUse!$B$93:$J$93,0))))</f>
        <v>0</v>
      </c>
      <c r="G33" s="135">
        <f>M$18*(INDEX(PlasticsUse!$B$71:$J$87,MATCH('Imports - Products'!$A33,PlasticsUse!$A$27:$A$43,0),MATCH('Imports - Products'!G$23,PlasticsUse!$B$26:$J$26,0))/(INDEX(PlasticsUse!$B$88:$J$88,1,MATCH('Imports - Products'!G$23,PlasticsUse!$B$93:$J$93,0))))</f>
        <v>0</v>
      </c>
      <c r="H33" s="135">
        <f t="shared" si="5"/>
        <v>521297.65829887456</v>
      </c>
    </row>
    <row r="34" spans="1:8" x14ac:dyDescent="0.2">
      <c r="A34" s="128" t="str">
        <f>PlasticsUse!A37</f>
        <v>ABS</v>
      </c>
      <c r="B34" s="135">
        <f>H$18*(INDEX(PlasticsUse!$B$71:$J$87,MATCH('Imports - Products'!$A34,PlasticsUse!$A$27:$A$43,0),MATCH('Imports - Products'!B$23,PlasticsUse!$B$26:$J$26,0))/(INDEX(PlasticsUse!$B$88:$J$88,1,MATCH('Imports - Products'!B$23,PlasticsUse!$B$93:$J$93,0))))</f>
        <v>0</v>
      </c>
      <c r="C34" s="135">
        <f>I$18*(INDEX(PlasticsUse!$B$71:$J$87,MATCH('Imports - Products'!$A34,PlasticsUse!$A$27:$A$43,0),MATCH('Imports - Products'!C$23,PlasticsUse!$B$26:$J$26,0))/(INDEX(PlasticsUse!$B$88:$J$88,1,MATCH('Imports - Products'!C$23,PlasticsUse!$B$93:$J$93,0))))</f>
        <v>0</v>
      </c>
      <c r="D34" s="135">
        <f>J$18*(INDEX(PlasticsUse!$B$71:$J$87,MATCH('Imports - Products'!$A34,PlasticsUse!$A$27:$A$43,0),MATCH('Imports - Products'!D$23,PlasticsUse!$B$26:$J$26,0))/(INDEX(PlasticsUse!$B$88:$J$88,1,MATCH('Imports - Products'!D$23,PlasticsUse!$B$93:$J$93,0))))</f>
        <v>172949.09919791226</v>
      </c>
      <c r="E34" s="135">
        <f>K$18*(INDEX(PlasticsUse!$B$71:$J$87,MATCH('Imports - Products'!$A34,PlasticsUse!$A$27:$A$43,0),MATCH('Imports - Products'!E$23,PlasticsUse!$B$26:$J$26,0))/(INDEX(PlasticsUse!$B$88:$J$88,1,MATCH('Imports - Products'!E$23,PlasticsUse!$B$93:$J$93,0))))</f>
        <v>19467.701227347268</v>
      </c>
      <c r="F34" s="135">
        <f>L$18*(INDEX(PlasticsUse!$B$71:$J$87,MATCH('Imports - Products'!$A34,PlasticsUse!$A$27:$A$43,0),MATCH('Imports - Products'!F$23,PlasticsUse!$B$26:$J$26,0))/(INDEX(PlasticsUse!$B$88:$J$88,1,MATCH('Imports - Products'!F$23,PlasticsUse!$B$93:$J$93,0))))</f>
        <v>40629.983761679578</v>
      </c>
      <c r="G34" s="135">
        <f>M$18*(INDEX(PlasticsUse!$B$71:$J$87,MATCH('Imports - Products'!$A34,PlasticsUse!$A$27:$A$43,0),MATCH('Imports - Products'!G$23,PlasticsUse!$B$26:$J$26,0))/(INDEX(PlasticsUse!$B$88:$J$88,1,MATCH('Imports - Products'!G$23,PlasticsUse!$B$93:$J$93,0))))</f>
        <v>0</v>
      </c>
      <c r="H34" s="135">
        <f t="shared" si="5"/>
        <v>233046.78418693913</v>
      </c>
    </row>
    <row r="35" spans="1:8" x14ac:dyDescent="0.2">
      <c r="A35" s="128" t="str">
        <f>PlasticsUse!A38</f>
        <v>Polyester fiber</v>
      </c>
      <c r="B35" s="135">
        <f>H$18*(INDEX(PlasticsUse!$B$71:$J$87,MATCH('Imports - Products'!$A35,PlasticsUse!$A$27:$A$43,0),MATCH('Imports - Products'!B$23,PlasticsUse!$B$26:$J$26,0))/(INDEX(PlasticsUse!$B$88:$J$88,1,MATCH('Imports - Products'!B$23,PlasticsUse!$B$93:$J$93,0))))</f>
        <v>0</v>
      </c>
      <c r="C35" s="135">
        <f>I$18*(INDEX(PlasticsUse!$B$71:$J$87,MATCH('Imports - Products'!$A35,PlasticsUse!$A$27:$A$43,0),MATCH('Imports - Products'!C$23,PlasticsUse!$B$26:$J$26,0))/(INDEX(PlasticsUse!$B$88:$J$88,1,MATCH('Imports - Products'!C$23,PlasticsUse!$B$93:$J$93,0))))</f>
        <v>133000.30967320554</v>
      </c>
      <c r="D35" s="135">
        <f>J$18*(INDEX(PlasticsUse!$B$71:$J$87,MATCH('Imports - Products'!$A35,PlasticsUse!$A$27:$A$43,0),MATCH('Imports - Products'!D$23,PlasticsUse!$B$26:$J$26,0))/(INDEX(PlasticsUse!$B$88:$J$88,1,MATCH('Imports - Products'!D$23,PlasticsUse!$B$93:$J$93,0))))</f>
        <v>0</v>
      </c>
      <c r="E35" s="135">
        <f>K$18*(INDEX(PlasticsUse!$B$71:$J$87,MATCH('Imports - Products'!$A35,PlasticsUse!$A$27:$A$43,0),MATCH('Imports - Products'!E$23,PlasticsUse!$B$26:$J$26,0))/(INDEX(PlasticsUse!$B$88:$J$88,1,MATCH('Imports - Products'!E$23,PlasticsUse!$B$93:$J$93,0))))</f>
        <v>0</v>
      </c>
      <c r="F35" s="135">
        <f>L$18*(INDEX(PlasticsUse!$B$71:$J$87,MATCH('Imports - Products'!$A35,PlasticsUse!$A$27:$A$43,0),MATCH('Imports - Products'!F$23,PlasticsUse!$B$26:$J$26,0))/(INDEX(PlasticsUse!$B$88:$J$88,1,MATCH('Imports - Products'!F$23,PlasticsUse!$B$93:$J$93,0))))</f>
        <v>0</v>
      </c>
      <c r="G35" s="135">
        <f>M$18*(INDEX(PlasticsUse!$B$71:$J$87,MATCH('Imports - Products'!$A35,PlasticsUse!$A$27:$A$43,0),MATCH('Imports - Products'!G$23,PlasticsUse!$B$26:$J$26,0))/(INDEX(PlasticsUse!$B$88:$J$88,1,MATCH('Imports - Products'!G$23,PlasticsUse!$B$93:$J$93,0))))</f>
        <v>30049.799145028104</v>
      </c>
      <c r="H35" s="135">
        <f t="shared" si="5"/>
        <v>163050.10881823365</v>
      </c>
    </row>
    <row r="36" spans="1:8" x14ac:dyDescent="0.2">
      <c r="A36" s="128" t="str">
        <f>PlasticsUse!A39</f>
        <v>Polyamide nylon</v>
      </c>
      <c r="B36" s="135">
        <f>H$18*(INDEX(PlasticsUse!$B$71:$J$87,MATCH('Imports - Products'!$A36,PlasticsUse!$A$27:$A$43,0),MATCH('Imports - Products'!B$23,PlasticsUse!$B$26:$J$26,0))/(INDEX(PlasticsUse!$B$88:$J$88,1,MATCH('Imports - Products'!B$23,PlasticsUse!$B$93:$J$93,0))))</f>
        <v>0</v>
      </c>
      <c r="C36" s="135">
        <f>I$18*(INDEX(PlasticsUse!$B$71:$J$87,MATCH('Imports - Products'!$A36,PlasticsUse!$A$27:$A$43,0),MATCH('Imports - Products'!C$23,PlasticsUse!$B$26:$J$26,0))/(INDEX(PlasticsUse!$B$88:$J$88,1,MATCH('Imports - Products'!C$23,PlasticsUse!$B$93:$J$93,0))))</f>
        <v>0</v>
      </c>
      <c r="D36" s="135">
        <f>J$18*(INDEX(PlasticsUse!$B$71:$J$87,MATCH('Imports - Products'!$A36,PlasticsUse!$A$27:$A$43,0),MATCH('Imports - Products'!D$23,PlasticsUse!$B$26:$J$26,0))/(INDEX(PlasticsUse!$B$88:$J$88,1,MATCH('Imports - Products'!D$23,PlasticsUse!$B$93:$J$93,0))))</f>
        <v>0</v>
      </c>
      <c r="E36" s="135">
        <f>K$18*(INDEX(PlasticsUse!$B$71:$J$87,MATCH('Imports - Products'!$A36,PlasticsUse!$A$27:$A$43,0),MATCH('Imports - Products'!E$23,PlasticsUse!$B$26:$J$26,0))/(INDEX(PlasticsUse!$B$88:$J$88,1,MATCH('Imports - Products'!E$23,PlasticsUse!$B$93:$J$93,0))))</f>
        <v>0</v>
      </c>
      <c r="F36" s="135">
        <f>L$18*(INDEX(PlasticsUse!$B$71:$J$87,MATCH('Imports - Products'!$A36,PlasticsUse!$A$27:$A$43,0),MATCH('Imports - Products'!F$23,PlasticsUse!$B$26:$J$26,0))/(INDEX(PlasticsUse!$B$88:$J$88,1,MATCH('Imports - Products'!F$23,PlasticsUse!$B$93:$J$93,0))))</f>
        <v>0</v>
      </c>
      <c r="G36" s="135">
        <f>M$18*(INDEX(PlasticsUse!$B$71:$J$87,MATCH('Imports - Products'!$A36,PlasticsUse!$A$27:$A$43,0),MATCH('Imports - Products'!G$23,PlasticsUse!$B$26:$J$26,0))/(INDEX(PlasticsUse!$B$88:$J$88,1,MATCH('Imports - Products'!G$23,PlasticsUse!$B$93:$J$93,0))))</f>
        <v>0</v>
      </c>
      <c r="H36" s="135">
        <f t="shared" si="5"/>
        <v>0</v>
      </c>
    </row>
    <row r="37" spans="1:8" x14ac:dyDescent="0.2">
      <c r="A37" s="128" t="str">
        <f>PlasticsUse!A40</f>
        <v>Polycarbonate</v>
      </c>
      <c r="B37" s="135">
        <f>H$18*(INDEX(PlasticsUse!$B$71:$J$87,MATCH('Imports - Products'!$A37,PlasticsUse!$A$27:$A$43,0),MATCH('Imports - Products'!B$23,PlasticsUse!$B$26:$J$26,0))/(INDEX(PlasticsUse!$B$88:$J$88,1,MATCH('Imports - Products'!B$23,PlasticsUse!$B$93:$J$93,0))))</f>
        <v>38579.716413371316</v>
      </c>
      <c r="C37" s="135">
        <f>I$18*(INDEX(PlasticsUse!$B$71:$J$87,MATCH('Imports - Products'!$A37,PlasticsUse!$A$27:$A$43,0),MATCH('Imports - Products'!C$23,PlasticsUse!$B$26:$J$26,0))/(INDEX(PlasticsUse!$B$88:$J$88,1,MATCH('Imports - Products'!C$23,PlasticsUse!$B$93:$J$93,0))))</f>
        <v>0</v>
      </c>
      <c r="D37" s="135">
        <f>J$18*(INDEX(PlasticsUse!$B$71:$J$87,MATCH('Imports - Products'!$A37,PlasticsUse!$A$27:$A$43,0),MATCH('Imports - Products'!D$23,PlasticsUse!$B$26:$J$26,0))/(INDEX(PlasticsUse!$B$88:$J$88,1,MATCH('Imports - Products'!D$23,PlasticsUse!$B$93:$J$93,0))))</f>
        <v>315293.90835303691</v>
      </c>
      <c r="E37" s="135">
        <f>K$18*(INDEX(PlasticsUse!$B$71:$J$87,MATCH('Imports - Products'!$A37,PlasticsUse!$A$27:$A$43,0),MATCH('Imports - Products'!E$23,PlasticsUse!$B$26:$J$26,0))/(INDEX(PlasticsUse!$B$88:$J$88,1,MATCH('Imports - Products'!E$23,PlasticsUse!$B$93:$J$93,0))))</f>
        <v>23660.324087977398</v>
      </c>
      <c r="F37" s="135">
        <f>L$18*(INDEX(PlasticsUse!$B$71:$J$87,MATCH('Imports - Products'!$A37,PlasticsUse!$A$27:$A$43,0),MATCH('Imports - Products'!F$23,PlasticsUse!$B$26:$J$26,0))/(INDEX(PlasticsUse!$B$88:$J$88,1,MATCH('Imports - Products'!F$23,PlasticsUse!$B$93:$J$93,0))))</f>
        <v>197520.71849966238</v>
      </c>
      <c r="G37" s="135">
        <f>M$18*(INDEX(PlasticsUse!$B$71:$J$87,MATCH('Imports - Products'!$A37,PlasticsUse!$A$27:$A$43,0),MATCH('Imports - Products'!G$23,PlasticsUse!$B$26:$J$26,0))/(INDEX(PlasticsUse!$B$88:$J$88,1,MATCH('Imports - Products'!G$23,PlasticsUse!$B$93:$J$93,0))))</f>
        <v>0</v>
      </c>
      <c r="H37" s="135">
        <f t="shared" si="5"/>
        <v>575054.667354048</v>
      </c>
    </row>
    <row r="38" spans="1:8" x14ac:dyDescent="0.2">
      <c r="A38" s="128" t="str">
        <f>PlasticsUse!A41</f>
        <v>Styrene butadiene rubber</v>
      </c>
      <c r="B38" s="135">
        <f>H$18*(INDEX(PlasticsUse!$B$71:$J$87,MATCH('Imports - Products'!$A38,PlasticsUse!$A$27:$A$43,0),MATCH('Imports - Products'!B$23,PlasticsUse!$B$26:$J$26,0))/(INDEX(PlasticsUse!$B$88:$J$88,1,MATCH('Imports - Products'!B$23,PlasticsUse!$B$93:$J$93,0))))</f>
        <v>0</v>
      </c>
      <c r="C38" s="135">
        <f>I$18*(INDEX(PlasticsUse!$B$71:$J$87,MATCH('Imports - Products'!$A38,PlasticsUse!$A$27:$A$43,0),MATCH('Imports - Products'!C$23,PlasticsUse!$B$26:$J$26,0))/(INDEX(PlasticsUse!$B$88:$J$88,1,MATCH('Imports - Products'!C$23,PlasticsUse!$B$93:$J$93,0))))</f>
        <v>17139.572271900575</v>
      </c>
      <c r="D38" s="135">
        <f>J$18*(INDEX(PlasticsUse!$B$71:$J$87,MATCH('Imports - Products'!$A38,PlasticsUse!$A$27:$A$43,0),MATCH('Imports - Products'!D$23,PlasticsUse!$B$26:$J$26,0))/(INDEX(PlasticsUse!$B$88:$J$88,1,MATCH('Imports - Products'!D$23,PlasticsUse!$B$93:$J$93,0))))</f>
        <v>0</v>
      </c>
      <c r="E38" s="135">
        <f>K$18*(INDEX(PlasticsUse!$B$71:$J$87,MATCH('Imports - Products'!$A38,PlasticsUse!$A$27:$A$43,0),MATCH('Imports - Products'!E$23,PlasticsUse!$B$26:$J$26,0))/(INDEX(PlasticsUse!$B$88:$J$88,1,MATCH('Imports - Products'!E$23,PlasticsUse!$B$93:$J$93,0))))</f>
        <v>0</v>
      </c>
      <c r="F38" s="135">
        <f>L$18*(INDEX(PlasticsUse!$B$71:$J$87,MATCH('Imports - Products'!$A38,PlasticsUse!$A$27:$A$43,0),MATCH('Imports - Products'!F$23,PlasticsUse!$B$26:$J$26,0))/(INDEX(PlasticsUse!$B$88:$J$88,1,MATCH('Imports - Products'!F$23,PlasticsUse!$B$93:$J$93,0))))</f>
        <v>175627.84680527833</v>
      </c>
      <c r="G38" s="135">
        <f>M$18*(INDEX(PlasticsUse!$B$71:$J$87,MATCH('Imports - Products'!$A38,PlasticsUse!$A$27:$A$43,0),MATCH('Imports - Products'!G$23,PlasticsUse!$B$26:$J$26,0))/(INDEX(PlasticsUse!$B$88:$J$88,1,MATCH('Imports - Products'!G$23,PlasticsUse!$B$93:$J$93,0))))</f>
        <v>0</v>
      </c>
      <c r="H38" s="135">
        <f t="shared" si="5"/>
        <v>192767.4190771789</v>
      </c>
    </row>
    <row r="39" spans="1:8" x14ac:dyDescent="0.2">
      <c r="A39" s="128" t="str">
        <f>PlasticsUse!A42</f>
        <v>Other resins</v>
      </c>
      <c r="B39" s="135">
        <f>H$18*(INDEX(PlasticsUse!$B$71:$J$87,MATCH('Imports - Products'!$A39,PlasticsUse!$A$27:$A$43,0),MATCH('Imports - Products'!B$23,PlasticsUse!$B$26:$J$26,0))/(INDEX(PlasticsUse!$B$88:$J$88,1,MATCH('Imports - Products'!B$23,PlasticsUse!$B$93:$J$93,0))))</f>
        <v>0</v>
      </c>
      <c r="C39" s="135">
        <f>I$18*(INDEX(PlasticsUse!$B$71:$J$87,MATCH('Imports - Products'!$A39,PlasticsUse!$A$27:$A$43,0),MATCH('Imports - Products'!C$23,PlasticsUse!$B$26:$J$26,0))/(INDEX(PlasticsUse!$B$88:$J$88,1,MATCH('Imports - Products'!C$23,PlasticsUse!$B$93:$J$93,0))))</f>
        <v>0</v>
      </c>
      <c r="D39" s="135">
        <f>J$18*(INDEX(PlasticsUse!$B$71:$J$87,MATCH('Imports - Products'!$A39,PlasticsUse!$A$27:$A$43,0),MATCH('Imports - Products'!D$23,PlasticsUse!$B$26:$J$26,0))/(INDEX(PlasticsUse!$B$88:$J$88,1,MATCH('Imports - Products'!D$23,PlasticsUse!$B$93:$J$93,0))))</f>
        <v>0</v>
      </c>
      <c r="E39" s="135">
        <f>K$18*(INDEX(PlasticsUse!$B$71:$J$87,MATCH('Imports - Products'!$A39,PlasticsUse!$A$27:$A$43,0),MATCH('Imports - Products'!E$23,PlasticsUse!$B$26:$J$26,0))/(INDEX(PlasticsUse!$B$88:$J$88,1,MATCH('Imports - Products'!E$23,PlasticsUse!$B$93:$J$93,0))))</f>
        <v>0</v>
      </c>
      <c r="F39" s="135">
        <f>L$18*(INDEX(PlasticsUse!$B$71:$J$87,MATCH('Imports - Products'!$A39,PlasticsUse!$A$27:$A$43,0),MATCH('Imports - Products'!F$23,PlasticsUse!$B$26:$J$26,0))/(INDEX(PlasticsUse!$B$88:$J$88,1,MATCH('Imports - Products'!F$23,PlasticsUse!$B$93:$J$93,0))))</f>
        <v>0</v>
      </c>
      <c r="G39" s="135">
        <f>M$18*(INDEX(PlasticsUse!$B$71:$J$87,MATCH('Imports - Products'!$A39,PlasticsUse!$A$27:$A$43,0),MATCH('Imports - Products'!G$23,PlasticsUse!$B$26:$J$26,0))/(INDEX(PlasticsUse!$B$88:$J$88,1,MATCH('Imports - Products'!G$23,PlasticsUse!$B$93:$J$93,0))))</f>
        <v>0</v>
      </c>
      <c r="H39" s="135">
        <f t="shared" si="5"/>
        <v>0</v>
      </c>
    </row>
    <row r="40" spans="1:8" x14ac:dyDescent="0.2">
      <c r="A40" s="128" t="str">
        <f>PlasticsUse!A43</f>
        <v>Copolymers</v>
      </c>
      <c r="B40" s="135">
        <f>H$18*(INDEX(PlasticsUse!$B$71:$J$87,MATCH('Imports - Products'!$A40,PlasticsUse!$A$27:$A$43,0),MATCH('Imports - Products'!B$23,PlasticsUse!$B$26:$J$26,0))/(INDEX(PlasticsUse!$B$88:$J$88,1,MATCH('Imports - Products'!B$23,PlasticsUse!$B$93:$J$93,0))))</f>
        <v>0</v>
      </c>
      <c r="C40" s="135">
        <f>I$18*(INDEX(PlasticsUse!$B$71:$J$87,MATCH('Imports - Products'!$A40,PlasticsUse!$A$27:$A$43,0),MATCH('Imports - Products'!C$23,PlasticsUse!$B$26:$J$26,0))/(INDEX(PlasticsUse!$B$88:$J$88,1,MATCH('Imports - Products'!C$23,PlasticsUse!$B$93:$J$93,0))))</f>
        <v>0</v>
      </c>
      <c r="D40" s="135">
        <f>J$18*(INDEX(PlasticsUse!$B$71:$J$87,MATCH('Imports - Products'!$A40,PlasticsUse!$A$27:$A$43,0),MATCH('Imports - Products'!D$23,PlasticsUse!$B$26:$J$26,0))/(INDEX(PlasticsUse!$B$88:$J$88,1,MATCH('Imports - Products'!D$23,PlasticsUse!$B$93:$J$93,0))))</f>
        <v>0</v>
      </c>
      <c r="E40" s="135">
        <f>K$18*(INDEX(PlasticsUse!$B$71:$J$87,MATCH('Imports - Products'!$A40,PlasticsUse!$A$27:$A$43,0),MATCH('Imports - Products'!E$23,PlasticsUse!$B$26:$J$26,0))/(INDEX(PlasticsUse!$B$88:$J$88,1,MATCH('Imports - Products'!E$23,PlasticsUse!$B$93:$J$93,0))))</f>
        <v>0</v>
      </c>
      <c r="F40" s="135">
        <f>L$18*(INDEX(PlasticsUse!$B$71:$J$87,MATCH('Imports - Products'!$A40,PlasticsUse!$A$27:$A$43,0),MATCH('Imports - Products'!F$23,PlasticsUse!$B$26:$J$26,0))/(INDEX(PlasticsUse!$B$88:$J$88,1,MATCH('Imports - Products'!F$23,PlasticsUse!$B$93:$J$93,0))))</f>
        <v>0</v>
      </c>
      <c r="G40" s="135">
        <f>M$18*(INDEX(PlasticsUse!$B$71:$J$87,MATCH('Imports - Products'!$A40,PlasticsUse!$A$27:$A$43,0),MATCH('Imports - Products'!G$23,PlasticsUse!$B$26:$J$26,0))/(INDEX(PlasticsUse!$B$88:$J$88,1,MATCH('Imports - Products'!G$23,PlasticsUse!$B$93:$J$93,0))))</f>
        <v>0</v>
      </c>
      <c r="H40" s="135">
        <f t="shared" si="5"/>
        <v>0</v>
      </c>
    </row>
    <row r="41" spans="1:8" x14ac:dyDescent="0.2">
      <c r="A41" s="126" t="s">
        <v>13</v>
      </c>
      <c r="B41" s="133">
        <f>SUM(B24:B40)</f>
        <v>1306037.6152820752</v>
      </c>
      <c r="C41" s="133">
        <f t="shared" ref="C41:G41" si="6">SUM(C24:C40)</f>
        <v>515355.91702660389</v>
      </c>
      <c r="D41" s="133">
        <f t="shared" si="6"/>
        <v>1707846.469567924</v>
      </c>
      <c r="E41" s="133">
        <f t="shared" si="6"/>
        <v>500736.18718679255</v>
      </c>
      <c r="F41" s="133">
        <f t="shared" si="6"/>
        <v>1368827.7338122642</v>
      </c>
      <c r="G41" s="133">
        <f t="shared" si="6"/>
        <v>489732.7737690566</v>
      </c>
      <c r="H41" s="135">
        <f t="shared" si="5"/>
        <v>5888536.696644716</v>
      </c>
    </row>
    <row r="42" spans="1:8" x14ac:dyDescent="0.2">
      <c r="A42" s="126" t="s">
        <v>110</v>
      </c>
      <c r="B42" s="133">
        <f>H18-B41</f>
        <v>0</v>
      </c>
      <c r="C42" s="133">
        <f t="shared" ref="C42:G42" si="7">I18-C41</f>
        <v>0</v>
      </c>
      <c r="D42" s="133">
        <f t="shared" si="7"/>
        <v>0</v>
      </c>
      <c r="E42" s="133">
        <f t="shared" si="7"/>
        <v>0</v>
      </c>
      <c r="F42" s="133">
        <f t="shared" si="7"/>
        <v>0</v>
      </c>
      <c r="G42" s="133">
        <f t="shared" si="7"/>
        <v>0</v>
      </c>
    </row>
    <row r="43" spans="1:8" x14ac:dyDescent="0.2">
      <c r="A43" s="136"/>
      <c r="B43" s="137"/>
      <c r="D43" s="138" t="s">
        <v>577</v>
      </c>
    </row>
    <row r="44" spans="1:8" x14ac:dyDescent="0.2">
      <c r="A44" s="120" t="s">
        <v>395</v>
      </c>
      <c r="B44" s="120" t="s">
        <v>578</v>
      </c>
      <c r="C44" s="120" t="s">
        <v>259</v>
      </c>
      <c r="D44" s="120" t="s">
        <v>399</v>
      </c>
    </row>
    <row r="45" spans="1:8" x14ac:dyDescent="0.2">
      <c r="A45" s="136" t="s">
        <v>403</v>
      </c>
      <c r="B45" s="136" t="s">
        <v>579</v>
      </c>
      <c r="C45" s="136" t="s">
        <v>580</v>
      </c>
      <c r="D45" s="133">
        <v>988847036</v>
      </c>
    </row>
    <row r="46" spans="1:8" x14ac:dyDescent="0.2">
      <c r="A46" s="136" t="s">
        <v>403</v>
      </c>
      <c r="B46" s="136" t="s">
        <v>581</v>
      </c>
      <c r="C46" s="136" t="s">
        <v>582</v>
      </c>
      <c r="D46" s="133">
        <v>684273144</v>
      </c>
    </row>
    <row r="47" spans="1:8" x14ac:dyDescent="0.2">
      <c r="A47" s="136" t="s">
        <v>403</v>
      </c>
      <c r="B47" s="136" t="s">
        <v>583</v>
      </c>
      <c r="C47" s="136" t="s">
        <v>584</v>
      </c>
      <c r="D47" s="133">
        <v>1278707337</v>
      </c>
    </row>
    <row r="48" spans="1:8" x14ac:dyDescent="0.2">
      <c r="A48" s="136" t="s">
        <v>403</v>
      </c>
      <c r="B48" s="136" t="s">
        <v>585</v>
      </c>
      <c r="C48" s="136" t="s">
        <v>586</v>
      </c>
      <c r="D48" s="133">
        <v>1039208307</v>
      </c>
    </row>
    <row r="49" spans="1:4" x14ac:dyDescent="0.2">
      <c r="A49" s="136" t="s">
        <v>403</v>
      </c>
      <c r="B49" s="136" t="s">
        <v>587</v>
      </c>
      <c r="C49" s="136" t="s">
        <v>588</v>
      </c>
      <c r="D49" s="133">
        <v>284993445</v>
      </c>
    </row>
    <row r="50" spans="1:4" x14ac:dyDescent="0.2">
      <c r="A50" s="136" t="s">
        <v>403</v>
      </c>
      <c r="B50" s="136" t="s">
        <v>589</v>
      </c>
      <c r="C50" s="136" t="s">
        <v>590</v>
      </c>
      <c r="D50" s="133">
        <v>861604769</v>
      </c>
    </row>
    <row r="51" spans="1:4" x14ac:dyDescent="0.2">
      <c r="A51" s="136" t="s">
        <v>403</v>
      </c>
      <c r="B51" s="136" t="s">
        <v>591</v>
      </c>
      <c r="C51" s="136" t="s">
        <v>592</v>
      </c>
      <c r="D51" s="133">
        <v>6841197015</v>
      </c>
    </row>
    <row r="52" spans="1:4" x14ac:dyDescent="0.2">
      <c r="A52" s="136" t="s">
        <v>403</v>
      </c>
      <c r="B52" s="136" t="s">
        <v>593</v>
      </c>
      <c r="C52" s="136" t="s">
        <v>594</v>
      </c>
      <c r="D52" s="133">
        <v>427234205</v>
      </c>
    </row>
    <row r="53" spans="1:4" x14ac:dyDescent="0.2">
      <c r="A53" s="136" t="s">
        <v>403</v>
      </c>
      <c r="B53" s="136" t="s">
        <v>595</v>
      </c>
      <c r="C53" s="136" t="s">
        <v>596</v>
      </c>
      <c r="D53" s="133">
        <v>628517647</v>
      </c>
    </row>
    <row r="54" spans="1:4" x14ac:dyDescent="0.2">
      <c r="A54" s="136" t="s">
        <v>403</v>
      </c>
      <c r="B54" s="136" t="s">
        <v>597</v>
      </c>
      <c r="C54" s="136" t="s">
        <v>598</v>
      </c>
      <c r="D54" s="133">
        <v>1837854012</v>
      </c>
    </row>
    <row r="55" spans="1:4" x14ac:dyDescent="0.2">
      <c r="A55" s="136" t="s">
        <v>403</v>
      </c>
      <c r="B55" s="136" t="s">
        <v>599</v>
      </c>
      <c r="C55" s="136" t="s">
        <v>600</v>
      </c>
      <c r="D55" s="133">
        <v>2191614457</v>
      </c>
    </row>
    <row r="56" spans="1:4" x14ac:dyDescent="0.2">
      <c r="A56" s="136" t="s">
        <v>403</v>
      </c>
      <c r="B56" s="136" t="s">
        <v>601</v>
      </c>
      <c r="C56" s="136" t="s">
        <v>602</v>
      </c>
      <c r="D56" s="133">
        <v>4071612456</v>
      </c>
    </row>
    <row r="57" spans="1:4" x14ac:dyDescent="0.2">
      <c r="A57" s="136" t="s">
        <v>403</v>
      </c>
      <c r="B57" s="136" t="s">
        <v>603</v>
      </c>
      <c r="C57" s="136" t="s">
        <v>604</v>
      </c>
      <c r="D57" s="133">
        <v>3749904031</v>
      </c>
    </row>
    <row r="58" spans="1:4" x14ac:dyDescent="0.2">
      <c r="A58" s="136" t="s">
        <v>403</v>
      </c>
      <c r="B58" s="136" t="s">
        <v>605</v>
      </c>
      <c r="C58" s="136" t="s">
        <v>606</v>
      </c>
      <c r="D58" s="133">
        <v>286708213</v>
      </c>
    </row>
    <row r="59" spans="1:4" x14ac:dyDescent="0.2">
      <c r="A59" s="136" t="s">
        <v>403</v>
      </c>
      <c r="B59" s="136" t="s">
        <v>607</v>
      </c>
      <c r="C59" s="136" t="s">
        <v>608</v>
      </c>
      <c r="D59" s="133">
        <v>6213676809</v>
      </c>
    </row>
    <row r="60" spans="1:4" x14ac:dyDescent="0.2">
      <c r="A60" s="136" t="s">
        <v>403</v>
      </c>
      <c r="B60" s="136" t="s">
        <v>609</v>
      </c>
      <c r="C60" s="136" t="s">
        <v>610</v>
      </c>
      <c r="D60" s="133">
        <v>208375638</v>
      </c>
    </row>
    <row r="61" spans="1:4" x14ac:dyDescent="0.2">
      <c r="A61" s="136" t="s">
        <v>403</v>
      </c>
      <c r="B61" s="136" t="s">
        <v>611</v>
      </c>
      <c r="C61" s="136" t="s">
        <v>612</v>
      </c>
      <c r="D61" s="133">
        <v>624741007</v>
      </c>
    </row>
    <row r="62" spans="1:4" x14ac:dyDescent="0.2">
      <c r="A62" s="136" t="s">
        <v>403</v>
      </c>
      <c r="B62" s="136" t="s">
        <v>613</v>
      </c>
      <c r="C62" s="136" t="s">
        <v>614</v>
      </c>
      <c r="D62" s="133">
        <v>107801321</v>
      </c>
    </row>
    <row r="63" spans="1:4" x14ac:dyDescent="0.2">
      <c r="A63" s="136" t="s">
        <v>403</v>
      </c>
      <c r="B63" s="136" t="s">
        <v>615</v>
      </c>
      <c r="C63" s="136" t="s">
        <v>616</v>
      </c>
      <c r="D63" s="133">
        <v>355249752</v>
      </c>
    </row>
    <row r="64" spans="1:4" x14ac:dyDescent="0.2">
      <c r="A64" s="136" t="s">
        <v>403</v>
      </c>
      <c r="B64" s="136" t="s">
        <v>617</v>
      </c>
      <c r="C64" s="136" t="s">
        <v>618</v>
      </c>
      <c r="D64" s="133">
        <v>1309919322</v>
      </c>
    </row>
    <row r="65" spans="1:17" x14ac:dyDescent="0.2">
      <c r="A65" s="136" t="s">
        <v>403</v>
      </c>
      <c r="B65" s="136" t="s">
        <v>619</v>
      </c>
      <c r="C65" s="136" t="s">
        <v>620</v>
      </c>
      <c r="D65" s="133">
        <v>1289042357</v>
      </c>
    </row>
    <row r="66" spans="1:17" x14ac:dyDescent="0.2">
      <c r="A66" s="136" t="s">
        <v>403</v>
      </c>
      <c r="B66" s="136" t="s">
        <v>621</v>
      </c>
      <c r="C66" s="136" t="s">
        <v>622</v>
      </c>
      <c r="D66" s="133">
        <v>79524214</v>
      </c>
    </row>
    <row r="67" spans="1:17" x14ac:dyDescent="0.2">
      <c r="A67" s="136" t="s">
        <v>403</v>
      </c>
      <c r="B67" s="136" t="s">
        <v>623</v>
      </c>
      <c r="C67" s="136" t="s">
        <v>624</v>
      </c>
      <c r="D67" s="133">
        <v>9506065810</v>
      </c>
    </row>
    <row r="68" spans="1:17" ht="16" x14ac:dyDescent="0.2">
      <c r="A68" s="136" t="s">
        <v>403</v>
      </c>
      <c r="B68" s="136" t="s">
        <v>625</v>
      </c>
      <c r="C68" s="136" t="s">
        <v>626</v>
      </c>
      <c r="D68" s="133">
        <v>86386089</v>
      </c>
      <c r="Q68"/>
    </row>
    <row r="69" spans="1:17" ht="16" x14ac:dyDescent="0.2">
      <c r="A69" s="136" t="s">
        <v>403</v>
      </c>
      <c r="B69" s="136" t="s">
        <v>627</v>
      </c>
      <c r="C69" s="136" t="s">
        <v>628</v>
      </c>
      <c r="D69" s="133">
        <v>810521459</v>
      </c>
      <c r="Q69"/>
    </row>
    <row r="70" spans="1:17" x14ac:dyDescent="0.2">
      <c r="A70" s="136" t="s">
        <v>403</v>
      </c>
      <c r="B70" s="136" t="s">
        <v>629</v>
      </c>
      <c r="C70" s="136" t="s">
        <v>630</v>
      </c>
      <c r="D70" s="133">
        <v>516591674</v>
      </c>
    </row>
    <row r="71" spans="1:17" x14ac:dyDescent="0.2">
      <c r="A71" s="136" t="s">
        <v>403</v>
      </c>
      <c r="B71" s="136" t="s">
        <v>631</v>
      </c>
      <c r="C71" s="136" t="s">
        <v>632</v>
      </c>
      <c r="D71" s="133">
        <v>3127415856</v>
      </c>
    </row>
    <row r="72" spans="1:17" x14ac:dyDescent="0.2">
      <c r="A72" s="136" t="s">
        <v>403</v>
      </c>
      <c r="B72" s="136" t="s">
        <v>633</v>
      </c>
      <c r="C72" s="136" t="s">
        <v>634</v>
      </c>
      <c r="D72" s="133">
        <v>5503941690</v>
      </c>
    </row>
    <row r="73" spans="1:17" x14ac:dyDescent="0.2">
      <c r="A73" s="136" t="s">
        <v>403</v>
      </c>
      <c r="B73" s="136" t="s">
        <v>635</v>
      </c>
      <c r="C73" s="136" t="s">
        <v>636</v>
      </c>
      <c r="D73" s="133">
        <v>955016854</v>
      </c>
    </row>
    <row r="74" spans="1:17" x14ac:dyDescent="0.2">
      <c r="A74" s="136" t="s">
        <v>403</v>
      </c>
      <c r="B74" s="136" t="s">
        <v>637</v>
      </c>
      <c r="C74" s="136" t="s">
        <v>638</v>
      </c>
      <c r="D74" s="133">
        <v>530629704</v>
      </c>
    </row>
    <row r="75" spans="1:17" x14ac:dyDescent="0.2">
      <c r="A75" s="136" t="s">
        <v>403</v>
      </c>
      <c r="B75" s="136" t="s">
        <v>639</v>
      </c>
      <c r="C75" s="136" t="s">
        <v>640</v>
      </c>
      <c r="D75" s="133">
        <v>428996698</v>
      </c>
    </row>
    <row r="76" spans="1:17" x14ac:dyDescent="0.2">
      <c r="A76" s="136" t="s">
        <v>403</v>
      </c>
      <c r="B76" s="136" t="s">
        <v>641</v>
      </c>
      <c r="C76" s="136" t="s">
        <v>642</v>
      </c>
      <c r="D76" s="133">
        <v>2629266749</v>
      </c>
    </row>
    <row r="77" spans="1:17" x14ac:dyDescent="0.2">
      <c r="A77" s="136" t="s">
        <v>403</v>
      </c>
      <c r="B77" s="136" t="s">
        <v>643</v>
      </c>
      <c r="C77" s="136" t="s">
        <v>644</v>
      </c>
      <c r="D77" s="133">
        <v>3133310212</v>
      </c>
    </row>
    <row r="78" spans="1:17" x14ac:dyDescent="0.2">
      <c r="A78" s="136" t="s">
        <v>403</v>
      </c>
      <c r="B78" s="136" t="s">
        <v>645</v>
      </c>
      <c r="C78" s="136" t="s">
        <v>646</v>
      </c>
      <c r="D78" s="133">
        <v>942719229</v>
      </c>
    </row>
    <row r="79" spans="1:17" x14ac:dyDescent="0.2">
      <c r="A79" s="136" t="s">
        <v>403</v>
      </c>
      <c r="B79" s="136" t="s">
        <v>647</v>
      </c>
      <c r="C79" s="136" t="s">
        <v>648</v>
      </c>
      <c r="D79" s="133">
        <v>1319605580</v>
      </c>
    </row>
    <row r="80" spans="1:17" x14ac:dyDescent="0.2">
      <c r="A80" s="136" t="s">
        <v>403</v>
      </c>
      <c r="B80" s="136" t="s">
        <v>649</v>
      </c>
      <c r="C80" s="136" t="s">
        <v>650</v>
      </c>
      <c r="D80" s="133">
        <v>157759689</v>
      </c>
    </row>
    <row r="81" spans="1:4" x14ac:dyDescent="0.2">
      <c r="A81" s="136" t="s">
        <v>403</v>
      </c>
      <c r="B81" s="136" t="s">
        <v>651</v>
      </c>
      <c r="C81" s="136" t="s">
        <v>652</v>
      </c>
      <c r="D81" s="133">
        <v>3531897016</v>
      </c>
    </row>
    <row r="82" spans="1:4" x14ac:dyDescent="0.2">
      <c r="A82" s="136" t="s">
        <v>403</v>
      </c>
      <c r="B82" s="136" t="s">
        <v>653</v>
      </c>
      <c r="C82" s="136" t="s">
        <v>654</v>
      </c>
      <c r="D82" s="133">
        <v>3162675754</v>
      </c>
    </row>
    <row r="83" spans="1:4" x14ac:dyDescent="0.2">
      <c r="A83" s="136" t="s">
        <v>403</v>
      </c>
      <c r="B83" s="136" t="s">
        <v>655</v>
      </c>
      <c r="C83" s="136" t="s">
        <v>656</v>
      </c>
      <c r="D83" s="133">
        <v>481942227</v>
      </c>
    </row>
    <row r="84" spans="1:4" x14ac:dyDescent="0.2">
      <c r="A84" s="136" t="s">
        <v>403</v>
      </c>
      <c r="B84" s="136" t="s">
        <v>657</v>
      </c>
      <c r="C84" s="136" t="s">
        <v>658</v>
      </c>
      <c r="D84" s="133">
        <v>168796072</v>
      </c>
    </row>
    <row r="85" spans="1:4" x14ac:dyDescent="0.2">
      <c r="A85" s="136" t="s">
        <v>403</v>
      </c>
      <c r="B85" s="136" t="s">
        <v>659</v>
      </c>
      <c r="C85" s="136" t="s">
        <v>660</v>
      </c>
      <c r="D85" s="133">
        <v>2342694168</v>
      </c>
    </row>
    <row r="86" spans="1:4" x14ac:dyDescent="0.2">
      <c r="A86" s="136" t="s">
        <v>403</v>
      </c>
      <c r="B86" s="136" t="s">
        <v>661</v>
      </c>
      <c r="C86" s="136" t="s">
        <v>662</v>
      </c>
      <c r="D86" s="133">
        <v>811385186</v>
      </c>
    </row>
    <row r="87" spans="1:4" x14ac:dyDescent="0.2">
      <c r="A87" s="136" t="s">
        <v>403</v>
      </c>
      <c r="B87" s="136" t="s">
        <v>663</v>
      </c>
      <c r="C87" s="136" t="s">
        <v>664</v>
      </c>
      <c r="D87" s="133">
        <v>33074315195</v>
      </c>
    </row>
    <row r="88" spans="1:4" x14ac:dyDescent="0.2">
      <c r="A88" s="136" t="s">
        <v>403</v>
      </c>
      <c r="B88" s="136" t="s">
        <v>665</v>
      </c>
      <c r="C88" s="136" t="s">
        <v>666</v>
      </c>
      <c r="D88" s="133">
        <v>45686846045</v>
      </c>
    </row>
    <row r="89" spans="1:4" x14ac:dyDescent="0.2">
      <c r="A89" s="136" t="s">
        <v>403</v>
      </c>
      <c r="B89" s="136" t="s">
        <v>667</v>
      </c>
      <c r="C89" s="136" t="s">
        <v>668</v>
      </c>
      <c r="D89" s="133">
        <v>2230724306</v>
      </c>
    </row>
    <row r="90" spans="1:4" x14ac:dyDescent="0.2">
      <c r="A90" s="136" t="s">
        <v>403</v>
      </c>
      <c r="B90" s="136" t="s">
        <v>669</v>
      </c>
      <c r="C90" s="136" t="s">
        <v>670</v>
      </c>
      <c r="D90" s="133">
        <v>5307268249</v>
      </c>
    </row>
    <row r="91" spans="1:4" x14ac:dyDescent="0.2">
      <c r="A91" s="136" t="s">
        <v>403</v>
      </c>
      <c r="B91" s="136" t="s">
        <v>671</v>
      </c>
      <c r="C91" s="136" t="s">
        <v>672</v>
      </c>
      <c r="D91" s="133">
        <v>26533359793</v>
      </c>
    </row>
    <row r="92" spans="1:4" x14ac:dyDescent="0.2">
      <c r="A92" s="136" t="s">
        <v>403</v>
      </c>
      <c r="B92" s="136" t="s">
        <v>673</v>
      </c>
      <c r="C92" s="136" t="s">
        <v>674</v>
      </c>
      <c r="D92" s="133">
        <v>74842728873</v>
      </c>
    </row>
    <row r="93" spans="1:4" x14ac:dyDescent="0.2">
      <c r="A93" s="136" t="s">
        <v>403</v>
      </c>
      <c r="B93" s="136" t="s">
        <v>675</v>
      </c>
      <c r="C93" s="136" t="s">
        <v>676</v>
      </c>
      <c r="D93" s="133">
        <v>7111699134</v>
      </c>
    </row>
    <row r="94" spans="1:4" x14ac:dyDescent="0.2">
      <c r="A94" s="136" t="s">
        <v>403</v>
      </c>
      <c r="B94" s="136" t="s">
        <v>677</v>
      </c>
      <c r="C94" s="136" t="s">
        <v>678</v>
      </c>
      <c r="D94" s="133">
        <v>23143179248</v>
      </c>
    </row>
    <row r="95" spans="1:4" x14ac:dyDescent="0.2">
      <c r="A95" s="136" t="s">
        <v>403</v>
      </c>
      <c r="B95" s="136" t="s">
        <v>679</v>
      </c>
      <c r="C95" s="136" t="s">
        <v>680</v>
      </c>
      <c r="D95" s="133">
        <v>1731739513</v>
      </c>
    </row>
    <row r="96" spans="1:4" x14ac:dyDescent="0.2">
      <c r="A96" s="136" t="s">
        <v>403</v>
      </c>
      <c r="B96" s="136" t="s">
        <v>681</v>
      </c>
      <c r="C96" s="136" t="s">
        <v>682</v>
      </c>
      <c r="D96" s="133">
        <v>108865762672</v>
      </c>
    </row>
    <row r="97" spans="1:4" x14ac:dyDescent="0.2">
      <c r="A97" s="136" t="s">
        <v>403</v>
      </c>
      <c r="B97" s="136" t="s">
        <v>683</v>
      </c>
      <c r="C97" s="136" t="s">
        <v>684</v>
      </c>
      <c r="D97" s="133">
        <v>1687889683</v>
      </c>
    </row>
    <row r="98" spans="1:4" x14ac:dyDescent="0.2">
      <c r="A98" s="136" t="s">
        <v>403</v>
      </c>
      <c r="B98" s="136" t="s">
        <v>685</v>
      </c>
      <c r="C98" s="136" t="s">
        <v>686</v>
      </c>
      <c r="D98" s="133">
        <v>31822947122</v>
      </c>
    </row>
    <row r="99" spans="1:4" x14ac:dyDescent="0.2">
      <c r="A99" s="136" t="s">
        <v>403</v>
      </c>
      <c r="B99" s="136" t="s">
        <v>687</v>
      </c>
      <c r="C99" s="136" t="s">
        <v>688</v>
      </c>
      <c r="D99" s="133">
        <v>1804476837</v>
      </c>
    </row>
    <row r="100" spans="1:4" x14ac:dyDescent="0.2">
      <c r="A100" s="136" t="s">
        <v>403</v>
      </c>
      <c r="B100" s="136" t="s">
        <v>689</v>
      </c>
      <c r="C100" s="136" t="s">
        <v>690</v>
      </c>
      <c r="D100" s="133">
        <v>40903073288</v>
      </c>
    </row>
    <row r="101" spans="1:4" x14ac:dyDescent="0.2">
      <c r="A101" s="136" t="s">
        <v>403</v>
      </c>
      <c r="B101" s="136" t="s">
        <v>691</v>
      </c>
      <c r="C101" s="136" t="s">
        <v>692</v>
      </c>
      <c r="D101" s="133">
        <v>4416243830</v>
      </c>
    </row>
    <row r="102" spans="1:4" x14ac:dyDescent="0.2">
      <c r="A102" s="136" t="s">
        <v>403</v>
      </c>
      <c r="B102" s="136" t="s">
        <v>693</v>
      </c>
      <c r="C102" s="136" t="s">
        <v>694</v>
      </c>
      <c r="D102" s="133">
        <v>2358645469</v>
      </c>
    </row>
    <row r="103" spans="1:4" x14ac:dyDescent="0.2">
      <c r="A103" s="136" t="s">
        <v>403</v>
      </c>
      <c r="B103" s="136" t="s">
        <v>695</v>
      </c>
      <c r="C103" s="136" t="s">
        <v>696</v>
      </c>
      <c r="D103" s="133">
        <v>16251115934</v>
      </c>
    </row>
    <row r="104" spans="1:4" x14ac:dyDescent="0.2">
      <c r="A104" s="136" t="s">
        <v>403</v>
      </c>
      <c r="B104" s="136" t="s">
        <v>697</v>
      </c>
      <c r="C104" s="136" t="s">
        <v>698</v>
      </c>
      <c r="D104" s="133">
        <v>6864867516</v>
      </c>
    </row>
    <row r="105" spans="1:4" x14ac:dyDescent="0.2">
      <c r="A105" s="136" t="s">
        <v>403</v>
      </c>
      <c r="B105" s="136" t="s">
        <v>699</v>
      </c>
      <c r="C105" s="136" t="s">
        <v>700</v>
      </c>
      <c r="D105" s="133">
        <v>13124155658</v>
      </c>
    </row>
    <row r="106" spans="1:4" x14ac:dyDescent="0.2">
      <c r="A106" s="136" t="s">
        <v>403</v>
      </c>
      <c r="B106" s="136" t="s">
        <v>701</v>
      </c>
      <c r="C106" s="136" t="s">
        <v>702</v>
      </c>
      <c r="D106" s="133">
        <v>6526415095</v>
      </c>
    </row>
    <row r="107" spans="1:4" x14ac:dyDescent="0.2">
      <c r="A107" s="136" t="s">
        <v>403</v>
      </c>
      <c r="B107" s="136" t="s">
        <v>703</v>
      </c>
      <c r="C107" s="136" t="s">
        <v>704</v>
      </c>
      <c r="D107" s="133">
        <v>1526598557</v>
      </c>
    </row>
    <row r="108" spans="1:4" x14ac:dyDescent="0.2">
      <c r="A108" s="136" t="s">
        <v>403</v>
      </c>
      <c r="B108" s="136" t="s">
        <v>705</v>
      </c>
      <c r="C108" s="136" t="s">
        <v>706</v>
      </c>
      <c r="D108" s="133">
        <v>7909547444</v>
      </c>
    </row>
    <row r="109" spans="1:4" x14ac:dyDescent="0.2">
      <c r="A109" s="136" t="s">
        <v>403</v>
      </c>
      <c r="B109" s="136" t="s">
        <v>707</v>
      </c>
      <c r="C109" s="136" t="s">
        <v>708</v>
      </c>
      <c r="D109" s="133">
        <v>2394898801</v>
      </c>
    </row>
    <row r="110" spans="1:4" x14ac:dyDescent="0.2">
      <c r="A110" s="136" t="s">
        <v>403</v>
      </c>
      <c r="B110" s="136" t="s">
        <v>709</v>
      </c>
      <c r="C110" s="136" t="s">
        <v>710</v>
      </c>
      <c r="D110" s="133">
        <v>7516983154</v>
      </c>
    </row>
    <row r="111" spans="1:4" x14ac:dyDescent="0.2">
      <c r="A111" s="136" t="s">
        <v>403</v>
      </c>
      <c r="B111" s="136" t="s">
        <v>711</v>
      </c>
      <c r="C111" s="136" t="s">
        <v>712</v>
      </c>
      <c r="D111" s="133">
        <v>6961302477</v>
      </c>
    </row>
    <row r="112" spans="1:4" x14ac:dyDescent="0.2">
      <c r="A112" s="136" t="s">
        <v>403</v>
      </c>
      <c r="B112" s="136" t="s">
        <v>713</v>
      </c>
      <c r="C112" s="136" t="s">
        <v>714</v>
      </c>
      <c r="D112" s="133">
        <v>4253126488</v>
      </c>
    </row>
    <row r="113" spans="1:4" x14ac:dyDescent="0.2">
      <c r="A113" s="136" t="s">
        <v>403</v>
      </c>
      <c r="B113" s="136" t="s">
        <v>715</v>
      </c>
      <c r="C113" s="136" t="s">
        <v>716</v>
      </c>
      <c r="D113" s="133">
        <v>6881248058</v>
      </c>
    </row>
    <row r="114" spans="1:4" x14ac:dyDescent="0.2">
      <c r="A114" s="136" t="s">
        <v>403</v>
      </c>
      <c r="B114" s="136" t="s">
        <v>717</v>
      </c>
      <c r="C114" s="136" t="s">
        <v>718</v>
      </c>
      <c r="D114" s="133">
        <v>9995749606</v>
      </c>
    </row>
    <row r="115" spans="1:4" x14ac:dyDescent="0.2">
      <c r="A115" s="136" t="s">
        <v>403</v>
      </c>
      <c r="B115" s="136" t="s">
        <v>719</v>
      </c>
      <c r="C115" s="136" t="s">
        <v>720</v>
      </c>
      <c r="D115" s="133">
        <v>803927865</v>
      </c>
    </row>
    <row r="116" spans="1:4" x14ac:dyDescent="0.2">
      <c r="A116" s="136" t="s">
        <v>403</v>
      </c>
      <c r="B116" s="136" t="s">
        <v>721</v>
      </c>
      <c r="C116" s="136" t="s">
        <v>722</v>
      </c>
      <c r="D116" s="133">
        <v>943344079</v>
      </c>
    </row>
    <row r="117" spans="1:4" x14ac:dyDescent="0.2">
      <c r="A117" s="136" t="s">
        <v>403</v>
      </c>
      <c r="B117" s="136" t="s">
        <v>723</v>
      </c>
      <c r="C117" s="136" t="s">
        <v>724</v>
      </c>
      <c r="D117" s="133">
        <v>2321696523</v>
      </c>
    </row>
    <row r="118" spans="1:4" x14ac:dyDescent="0.2">
      <c r="A118" s="136" t="s">
        <v>403</v>
      </c>
      <c r="B118" s="136" t="s">
        <v>725</v>
      </c>
      <c r="C118" s="136" t="s">
        <v>726</v>
      </c>
      <c r="D118" s="133">
        <v>2607559725</v>
      </c>
    </row>
    <row r="119" spans="1:4" x14ac:dyDescent="0.2">
      <c r="A119" s="136" t="s">
        <v>403</v>
      </c>
      <c r="B119" s="136" t="s">
        <v>727</v>
      </c>
      <c r="C119" s="136" t="s">
        <v>728</v>
      </c>
      <c r="D119" s="133">
        <v>8106956374</v>
      </c>
    </row>
    <row r="120" spans="1:4" x14ac:dyDescent="0.2">
      <c r="A120" s="136" t="s">
        <v>403</v>
      </c>
      <c r="B120" s="136" t="s">
        <v>729</v>
      </c>
      <c r="C120" s="136" t="s">
        <v>730</v>
      </c>
      <c r="D120" s="133">
        <v>13746777272</v>
      </c>
    </row>
    <row r="121" spans="1:4" x14ac:dyDescent="0.2">
      <c r="A121" s="136" t="s">
        <v>403</v>
      </c>
      <c r="B121" s="136" t="s">
        <v>731</v>
      </c>
      <c r="C121" s="136" t="s">
        <v>732</v>
      </c>
      <c r="D121" s="133">
        <v>17212829161</v>
      </c>
    </row>
    <row r="122" spans="1:4" x14ac:dyDescent="0.2">
      <c r="A122" s="136" t="s">
        <v>403</v>
      </c>
      <c r="B122" s="136" t="s">
        <v>733</v>
      </c>
      <c r="C122" s="136" t="s">
        <v>734</v>
      </c>
      <c r="D122" s="133">
        <v>179600238188</v>
      </c>
    </row>
    <row r="123" spans="1:4" x14ac:dyDescent="0.2">
      <c r="A123" s="136" t="s">
        <v>403</v>
      </c>
      <c r="B123" s="136" t="s">
        <v>735</v>
      </c>
      <c r="C123" s="136" t="s">
        <v>736</v>
      </c>
      <c r="D123" s="133">
        <v>25202162820</v>
      </c>
    </row>
    <row r="124" spans="1:4" x14ac:dyDescent="0.2">
      <c r="A124" s="136" t="s">
        <v>403</v>
      </c>
      <c r="B124" s="136" t="s">
        <v>737</v>
      </c>
      <c r="C124" s="136" t="s">
        <v>738</v>
      </c>
      <c r="D124" s="133">
        <v>15277907703</v>
      </c>
    </row>
    <row r="125" spans="1:4" x14ac:dyDescent="0.2">
      <c r="A125" s="136" t="s">
        <v>403</v>
      </c>
      <c r="B125" s="136" t="s">
        <v>739</v>
      </c>
      <c r="C125" s="136" t="s">
        <v>740</v>
      </c>
      <c r="D125" s="133">
        <v>814961046</v>
      </c>
    </row>
    <row r="126" spans="1:4" x14ac:dyDescent="0.2">
      <c r="A126" s="136" t="s">
        <v>403</v>
      </c>
      <c r="B126" s="136" t="s">
        <v>741</v>
      </c>
      <c r="C126" s="136" t="s">
        <v>742</v>
      </c>
      <c r="D126" s="133">
        <v>2462442426</v>
      </c>
    </row>
    <row r="127" spans="1:4" x14ac:dyDescent="0.2">
      <c r="A127" s="136" t="s">
        <v>403</v>
      </c>
      <c r="B127" s="136" t="s">
        <v>743</v>
      </c>
      <c r="C127" s="136" t="s">
        <v>744</v>
      </c>
      <c r="D127" s="133">
        <v>290736031</v>
      </c>
    </row>
    <row r="128" spans="1:4" x14ac:dyDescent="0.2">
      <c r="A128" s="136" t="s">
        <v>403</v>
      </c>
      <c r="B128" s="136" t="s">
        <v>745</v>
      </c>
      <c r="C128" s="136" t="s">
        <v>746</v>
      </c>
      <c r="D128" s="133">
        <v>722922221</v>
      </c>
    </row>
    <row r="129" spans="1:4" x14ac:dyDescent="0.2">
      <c r="A129" s="136" t="s">
        <v>403</v>
      </c>
      <c r="B129" s="136" t="s">
        <v>747</v>
      </c>
      <c r="C129" s="136" t="s">
        <v>748</v>
      </c>
      <c r="D129" s="133">
        <v>16681569946</v>
      </c>
    </row>
    <row r="130" spans="1:4" x14ac:dyDescent="0.2">
      <c r="A130" s="136" t="s">
        <v>403</v>
      </c>
      <c r="B130" s="136" t="s">
        <v>749</v>
      </c>
      <c r="C130" s="136" t="s">
        <v>750</v>
      </c>
      <c r="D130" s="133">
        <v>21536604979</v>
      </c>
    </row>
    <row r="131" spans="1:4" x14ac:dyDescent="0.2">
      <c r="A131" s="136" t="s">
        <v>403</v>
      </c>
      <c r="B131" s="136" t="s">
        <v>751</v>
      </c>
      <c r="C131" s="136" t="s">
        <v>752</v>
      </c>
      <c r="D131" s="133">
        <v>15334799576</v>
      </c>
    </row>
    <row r="132" spans="1:4" x14ac:dyDescent="0.2">
      <c r="A132" s="136" t="s">
        <v>403</v>
      </c>
      <c r="B132" s="136" t="s">
        <v>753</v>
      </c>
      <c r="C132" s="136" t="s">
        <v>754</v>
      </c>
      <c r="D132" s="133">
        <v>5542134928</v>
      </c>
    </row>
    <row r="133" spans="1:4" x14ac:dyDescent="0.2">
      <c r="A133" s="136" t="s">
        <v>403</v>
      </c>
      <c r="B133" s="136" t="s">
        <v>755</v>
      </c>
      <c r="C133" s="136" t="s">
        <v>756</v>
      </c>
      <c r="D133" s="133">
        <v>9088633149</v>
      </c>
    </row>
    <row r="134" spans="1:4" x14ac:dyDescent="0.2">
      <c r="A134" s="136" t="s">
        <v>403</v>
      </c>
      <c r="B134" s="136" t="s">
        <v>757</v>
      </c>
      <c r="C134" s="136" t="s">
        <v>758</v>
      </c>
      <c r="D134" s="133">
        <v>7549565445</v>
      </c>
    </row>
    <row r="135" spans="1:4" x14ac:dyDescent="0.2">
      <c r="A135" s="136" t="s">
        <v>403</v>
      </c>
      <c r="B135" s="136" t="s">
        <v>759</v>
      </c>
      <c r="C135" s="136" t="s">
        <v>760</v>
      </c>
      <c r="D135" s="133">
        <v>643665650</v>
      </c>
    </row>
    <row r="136" spans="1:4" x14ac:dyDescent="0.2">
      <c r="A136" s="136" t="s">
        <v>403</v>
      </c>
      <c r="B136" s="136" t="s">
        <v>761</v>
      </c>
      <c r="C136" s="136" t="s">
        <v>762</v>
      </c>
      <c r="D136" s="133">
        <v>36628091490</v>
      </c>
    </row>
    <row r="137" spans="1:4" x14ac:dyDescent="0.2">
      <c r="A137" s="136" t="s">
        <v>403</v>
      </c>
      <c r="B137" s="136" t="s">
        <v>763</v>
      </c>
      <c r="C137" s="136" t="s">
        <v>764</v>
      </c>
      <c r="D137" s="133">
        <v>14456100777</v>
      </c>
    </row>
    <row r="138" spans="1:4" x14ac:dyDescent="0.2">
      <c r="A138" s="136" t="s">
        <v>403</v>
      </c>
      <c r="B138" s="136" t="s">
        <v>765</v>
      </c>
      <c r="C138" s="136" t="s">
        <v>766</v>
      </c>
      <c r="D138" s="133">
        <v>30719720116</v>
      </c>
    </row>
    <row r="139" spans="1:4" x14ac:dyDescent="0.2">
      <c r="A139" s="136" t="s">
        <v>403</v>
      </c>
      <c r="B139" s="136" t="s">
        <v>767</v>
      </c>
      <c r="C139" s="136" t="s">
        <v>768</v>
      </c>
      <c r="D139" s="133">
        <v>20470460034</v>
      </c>
    </row>
    <row r="140" spans="1:4" x14ac:dyDescent="0.2">
      <c r="A140" s="136" t="s">
        <v>403</v>
      </c>
      <c r="B140" s="136" t="s">
        <v>769</v>
      </c>
      <c r="C140" s="136" t="s">
        <v>770</v>
      </c>
      <c r="D140" s="133">
        <v>12094216</v>
      </c>
    </row>
    <row r="141" spans="1:4" x14ac:dyDescent="0.2">
      <c r="A141" s="136" t="s">
        <v>403</v>
      </c>
      <c r="B141" s="136" t="s">
        <v>771</v>
      </c>
      <c r="C141" s="136" t="s">
        <v>772</v>
      </c>
      <c r="D141" s="133">
        <v>485367766</v>
      </c>
    </row>
    <row r="142" spans="1:4" x14ac:dyDescent="0.2">
      <c r="A142" s="136" t="s">
        <v>403</v>
      </c>
      <c r="B142" s="136" t="s">
        <v>773</v>
      </c>
      <c r="C142" s="136" t="s">
        <v>774</v>
      </c>
      <c r="D142" s="133">
        <v>127363939</v>
      </c>
    </row>
    <row r="143" spans="1:4" x14ac:dyDescent="0.2">
      <c r="A143" s="136" t="s">
        <v>403</v>
      </c>
      <c r="B143" s="136" t="s">
        <v>775</v>
      </c>
      <c r="C143" s="136" t="s">
        <v>776</v>
      </c>
      <c r="D143" s="133">
        <v>1430880969</v>
      </c>
    </row>
    <row r="144" spans="1:4" x14ac:dyDescent="0.2">
      <c r="A144" s="136" t="s">
        <v>403</v>
      </c>
      <c r="B144" s="136" t="s">
        <v>777</v>
      </c>
      <c r="C144" s="136" t="s">
        <v>778</v>
      </c>
      <c r="D144" s="133">
        <v>619524730</v>
      </c>
    </row>
    <row r="145" spans="1:4" x14ac:dyDescent="0.2">
      <c r="A145" s="136" t="s">
        <v>403</v>
      </c>
      <c r="B145" s="136" t="s">
        <v>779</v>
      </c>
      <c r="C145" s="136" t="s">
        <v>780</v>
      </c>
      <c r="D145" s="133">
        <v>1571429862</v>
      </c>
    </row>
    <row r="146" spans="1:4" x14ac:dyDescent="0.2">
      <c r="A146" s="136" t="s">
        <v>403</v>
      </c>
      <c r="B146" s="136" t="s">
        <v>781</v>
      </c>
      <c r="C146" s="136" t="s">
        <v>782</v>
      </c>
      <c r="D146" s="133">
        <v>4954571118</v>
      </c>
    </row>
    <row r="147" spans="1:4" x14ac:dyDescent="0.2">
      <c r="A147" s="136" t="s">
        <v>403</v>
      </c>
      <c r="B147" s="136" t="s">
        <v>783</v>
      </c>
      <c r="C147" s="136" t="s">
        <v>784</v>
      </c>
      <c r="D147" s="133">
        <v>309183679</v>
      </c>
    </row>
    <row r="148" spans="1:4" x14ac:dyDescent="0.2">
      <c r="A148" s="136" t="s">
        <v>403</v>
      </c>
      <c r="B148" s="136" t="s">
        <v>785</v>
      </c>
      <c r="C148" s="136" t="s">
        <v>786</v>
      </c>
      <c r="D148" s="133">
        <v>2026123722</v>
      </c>
    </row>
    <row r="149" spans="1:4" x14ac:dyDescent="0.2">
      <c r="A149" s="136" t="s">
        <v>403</v>
      </c>
      <c r="B149" s="136" t="s">
        <v>787</v>
      </c>
      <c r="C149" s="136" t="s">
        <v>788</v>
      </c>
      <c r="D149" s="133">
        <v>1398863212</v>
      </c>
    </row>
    <row r="150" spans="1:4" x14ac:dyDescent="0.2">
      <c r="A150" s="136" t="s">
        <v>403</v>
      </c>
      <c r="B150" s="136" t="s">
        <v>789</v>
      </c>
      <c r="C150" s="136" t="s">
        <v>790</v>
      </c>
      <c r="D150" s="133">
        <v>5299686085</v>
      </c>
    </row>
    <row r="151" spans="1:4" x14ac:dyDescent="0.2">
      <c r="A151" s="136" t="s">
        <v>403</v>
      </c>
      <c r="B151" s="136" t="s">
        <v>791</v>
      </c>
      <c r="C151" s="136" t="s">
        <v>792</v>
      </c>
      <c r="D151" s="133">
        <v>5171676315</v>
      </c>
    </row>
    <row r="152" spans="1:4" x14ac:dyDescent="0.2">
      <c r="A152" s="136" t="s">
        <v>403</v>
      </c>
      <c r="B152" s="136" t="s">
        <v>793</v>
      </c>
      <c r="C152" s="136" t="s">
        <v>794</v>
      </c>
      <c r="D152" s="133">
        <v>4468056152</v>
      </c>
    </row>
    <row r="153" spans="1:4" x14ac:dyDescent="0.2">
      <c r="A153" s="136" t="s">
        <v>403</v>
      </c>
      <c r="B153" s="136" t="s">
        <v>795</v>
      </c>
      <c r="C153" s="136" t="s">
        <v>796</v>
      </c>
      <c r="D153" s="133">
        <v>1858676307</v>
      </c>
    </row>
    <row r="154" spans="1:4" x14ac:dyDescent="0.2">
      <c r="A154" s="136" t="s">
        <v>403</v>
      </c>
      <c r="B154" s="136" t="s">
        <v>797</v>
      </c>
      <c r="C154" s="136" t="s">
        <v>798</v>
      </c>
      <c r="D154" s="133">
        <v>13117615624</v>
      </c>
    </row>
    <row r="155" spans="1:4" x14ac:dyDescent="0.2">
      <c r="A155" s="136" t="s">
        <v>403</v>
      </c>
      <c r="B155" s="136" t="s">
        <v>799</v>
      </c>
      <c r="C155" s="136" t="s">
        <v>800</v>
      </c>
      <c r="D155" s="133">
        <v>883947151</v>
      </c>
    </row>
    <row r="156" spans="1:4" x14ac:dyDescent="0.2">
      <c r="A156" s="136" t="s">
        <v>403</v>
      </c>
      <c r="B156" s="136" t="s">
        <v>801</v>
      </c>
      <c r="C156" s="136" t="s">
        <v>802</v>
      </c>
      <c r="D156" s="133">
        <v>39674984</v>
      </c>
    </row>
    <row r="157" spans="1:4" x14ac:dyDescent="0.2">
      <c r="A157" s="136" t="s">
        <v>403</v>
      </c>
      <c r="B157" s="136" t="s">
        <v>803</v>
      </c>
      <c r="C157" s="136" t="s">
        <v>804</v>
      </c>
      <c r="D157" s="133">
        <v>836020243</v>
      </c>
    </row>
    <row r="158" spans="1:4" x14ac:dyDescent="0.2">
      <c r="A158" s="136" t="s">
        <v>403</v>
      </c>
      <c r="B158" s="136" t="s">
        <v>805</v>
      </c>
      <c r="C158" s="136" t="s">
        <v>806</v>
      </c>
      <c r="D158" s="133">
        <v>6265851526</v>
      </c>
    </row>
    <row r="159" spans="1:4" x14ac:dyDescent="0.2">
      <c r="A159" s="136" t="s">
        <v>403</v>
      </c>
      <c r="B159" s="136" t="s">
        <v>807</v>
      </c>
      <c r="C159" s="136" t="s">
        <v>808</v>
      </c>
      <c r="D159" s="133">
        <v>1229163284</v>
      </c>
    </row>
    <row r="160" spans="1:4" x14ac:dyDescent="0.2">
      <c r="A160" s="136" t="s">
        <v>403</v>
      </c>
      <c r="B160" s="136" t="s">
        <v>809</v>
      </c>
      <c r="C160" s="136" t="s">
        <v>810</v>
      </c>
      <c r="D160" s="133">
        <v>1635382141</v>
      </c>
    </row>
    <row r="161" spans="1:4" x14ac:dyDescent="0.2">
      <c r="A161" s="136" t="s">
        <v>403</v>
      </c>
      <c r="B161" s="136" t="s">
        <v>811</v>
      </c>
      <c r="C161" s="136" t="s">
        <v>812</v>
      </c>
      <c r="D161" s="133">
        <v>17582340064</v>
      </c>
    </row>
    <row r="162" spans="1:4" x14ac:dyDescent="0.2">
      <c r="A162" s="136" t="s">
        <v>403</v>
      </c>
      <c r="B162" s="136" t="s">
        <v>813</v>
      </c>
      <c r="C162" s="136" t="s">
        <v>814</v>
      </c>
      <c r="D162" s="133">
        <v>18225891604</v>
      </c>
    </row>
    <row r="163" spans="1:4" x14ac:dyDescent="0.2">
      <c r="A163" s="136" t="s">
        <v>403</v>
      </c>
      <c r="B163" s="136" t="s">
        <v>815</v>
      </c>
      <c r="C163" s="136" t="s">
        <v>816</v>
      </c>
      <c r="D163" s="133">
        <v>1698960770</v>
      </c>
    </row>
    <row r="164" spans="1:4" x14ac:dyDescent="0.2">
      <c r="A164" s="136" t="s">
        <v>403</v>
      </c>
      <c r="B164" s="136" t="s">
        <v>817</v>
      </c>
      <c r="C164" s="136" t="s">
        <v>818</v>
      </c>
      <c r="D164" s="133">
        <v>6152814506</v>
      </c>
    </row>
    <row r="165" spans="1:4" x14ac:dyDescent="0.2">
      <c r="A165" s="136" t="s">
        <v>403</v>
      </c>
      <c r="B165" s="136" t="s">
        <v>819</v>
      </c>
      <c r="C165" s="136" t="s">
        <v>820</v>
      </c>
      <c r="D165" s="133">
        <v>551597972</v>
      </c>
    </row>
    <row r="166" spans="1:4" x14ac:dyDescent="0.2">
      <c r="A166" s="136" t="s">
        <v>403</v>
      </c>
      <c r="B166" s="136" t="s">
        <v>821</v>
      </c>
      <c r="C166" s="136" t="s">
        <v>822</v>
      </c>
      <c r="D166" s="133">
        <v>8765638212</v>
      </c>
    </row>
    <row r="167" spans="1:4" x14ac:dyDescent="0.2">
      <c r="A167" s="136" t="s">
        <v>403</v>
      </c>
      <c r="B167" s="136" t="s">
        <v>823</v>
      </c>
      <c r="C167" s="136" t="s">
        <v>824</v>
      </c>
      <c r="D167" s="133">
        <v>20085531806</v>
      </c>
    </row>
    <row r="168" spans="1:4" x14ac:dyDescent="0.2">
      <c r="A168" s="136" t="s">
        <v>825</v>
      </c>
      <c r="C168" s="136" t="s">
        <v>826</v>
      </c>
      <c r="D168" s="133">
        <v>1152804867738</v>
      </c>
    </row>
  </sheetData>
  <mergeCells count="3">
    <mergeCell ref="D3:E3"/>
    <mergeCell ref="F3:G3"/>
    <mergeCell ref="H3:M3"/>
  </mergeCells>
  <phoneticPr fontId="5" type="noConversion"/>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7FC644-9F49-F748-B4B3-BAB63438835D}">
  <dimension ref="A1:F28"/>
  <sheetViews>
    <sheetView workbookViewId="0">
      <selection activeCell="D11" sqref="D11"/>
    </sheetView>
  </sheetViews>
  <sheetFormatPr baseColWidth="10" defaultRowHeight="16" x14ac:dyDescent="0.2"/>
  <cols>
    <col min="1" max="1" width="13.6640625" customWidth="1"/>
    <col min="2" max="2" width="17.83203125" bestFit="1" customWidth="1"/>
    <col min="3" max="3" width="17" customWidth="1"/>
    <col min="4" max="4" width="18.83203125" customWidth="1"/>
    <col min="5" max="5" width="17" customWidth="1"/>
    <col min="6" max="6" width="16.1640625" customWidth="1"/>
  </cols>
  <sheetData>
    <row r="1" spans="1:6" ht="26" x14ac:dyDescent="0.3">
      <c r="A1" s="139" t="s">
        <v>871</v>
      </c>
    </row>
    <row r="3" spans="1:6" x14ac:dyDescent="0.2">
      <c r="B3" s="2" t="s">
        <v>109</v>
      </c>
    </row>
    <row r="4" spans="1:6" x14ac:dyDescent="0.2">
      <c r="A4" s="2" t="s">
        <v>872</v>
      </c>
      <c r="B4" s="31">
        <f>SUM('Imports - Raw'!I22:'Imports - Raw'!I357)*10^-6</f>
        <v>6.2239122996776475</v>
      </c>
    </row>
    <row r="5" spans="1:6" x14ac:dyDescent="0.2">
      <c r="A5" s="2" t="s">
        <v>873</v>
      </c>
      <c r="B5" s="31">
        <f>SUM('Imports - Products'!F18:G18)*10^-6</f>
        <v>5.8885366966447164</v>
      </c>
    </row>
    <row r="6" spans="1:6" x14ac:dyDescent="0.2">
      <c r="A6" s="2" t="s">
        <v>874</v>
      </c>
      <c r="B6" s="11">
        <f>PlasticsDataCompilation!E38-PlasticsDataCompilation!D38</f>
        <v>53.515172999349815</v>
      </c>
    </row>
    <row r="7" spans="1:6" x14ac:dyDescent="0.2">
      <c r="A7" s="2" t="s">
        <v>875</v>
      </c>
      <c r="B7" s="31">
        <f>PlasticsUse!L111</f>
        <v>3.9511179751422314</v>
      </c>
    </row>
    <row r="10" spans="1:6" x14ac:dyDescent="0.2">
      <c r="A10" s="2" t="str">
        <f>PlasticsUse!A93</f>
        <v>Resin Type</v>
      </c>
      <c r="B10" s="2" t="s">
        <v>872</v>
      </c>
      <c r="C10" s="2" t="s">
        <v>873</v>
      </c>
      <c r="D10" s="2" t="s">
        <v>874</v>
      </c>
      <c r="E10" s="2" t="s">
        <v>875</v>
      </c>
      <c r="F10" s="2" t="s">
        <v>898</v>
      </c>
    </row>
    <row r="11" spans="1:6" x14ac:dyDescent="0.2">
      <c r="A11" t="str">
        <f>PlasticsUse!A94</f>
        <v>Polyurethane</v>
      </c>
      <c r="B11" s="11">
        <f>INDEX(PlasticsDataCompilation!$D$20:$D$36,MATCH('Import Summary'!$A11,PlasticsDataCompilation!$A$20:$A$36,0),1)</f>
        <v>8.547108597047795E-2</v>
      </c>
      <c r="C11" s="11">
        <f>INDEX('Imports - Products'!$H$24:$H$40,MATCH('Import Summary'!$A11,'Imports - Products'!$A$24:$A$40,0),1)*10^-6</f>
        <v>2.6043518772831082</v>
      </c>
      <c r="D11" s="11">
        <f>INDEX(PlasticsDataCompilation!$E$20:$E$36,MATCH('Import Summary'!$A11,PlasticsDataCompilation!$A$20:$A$36,0),1)-INDEX(PlasticsDataCompilation!$D$20:$D$36,MATCH('Import Summary'!$A11,PlasticsDataCompilation!$A$20:$A$36,0),1)</f>
        <v>24.948013591999999</v>
      </c>
      <c r="E11" s="11">
        <f>INDEX(PlasticsUse!$L$94:$L$110,MATCH('Import Summary'!$A11,PlasticsUse!$A$94:$A$110,0))</f>
        <v>2.2757299574526351</v>
      </c>
      <c r="F11" s="11">
        <f>SUM(B11:D11)-E11</f>
        <v>25.362106597800949</v>
      </c>
    </row>
    <row r="12" spans="1:6" x14ac:dyDescent="0.2">
      <c r="A12" t="str">
        <f>PlasticsUse!A95</f>
        <v>Other thermosets</v>
      </c>
      <c r="B12" s="11">
        <f>INDEX(PlasticsDataCompilation!$D$20:$D$36,MATCH('Import Summary'!$A12,PlasticsDataCompilation!$A$20:$A$36,0),1)</f>
        <v>0</v>
      </c>
      <c r="C12" s="11">
        <f>INDEX('Imports - Products'!$H$24:$H$40,MATCH('Import Summary'!$A12,'Imports - Products'!$A$24:$A$40,0),1)*10^-6</f>
        <v>0</v>
      </c>
      <c r="D12" s="11">
        <f>INDEX(PlasticsDataCompilation!$E$20:$E$36,MATCH('Import Summary'!$A12,PlasticsDataCompilation!$A$20:$A$36,0),1)-INDEX(PlasticsDataCompilation!$D$20:$D$36,MATCH('Import Summary'!$A12,PlasticsDataCompilation!$A$20:$A$36,0),1)</f>
        <v>2.26796</v>
      </c>
      <c r="E12" s="11">
        <f>INDEX(PlasticsUse!$L$94:$L$110,MATCH('Import Summary'!$A12,PlasticsUse!$A$94:$A$110,0))</f>
        <v>0</v>
      </c>
      <c r="F12" s="11">
        <f t="shared" ref="F12:F27" si="0">SUM(B12:D12)-E12</f>
        <v>2.26796</v>
      </c>
    </row>
    <row r="13" spans="1:6" x14ac:dyDescent="0.2">
      <c r="A13" t="str">
        <f>PlasticsUse!A96</f>
        <v>LDPE</v>
      </c>
      <c r="B13" s="11">
        <f>INDEX(PlasticsDataCompilation!$D$20:$D$36,MATCH('Import Summary'!$A13,PlasticsDataCompilation!$A$20:$A$36,0),1)</f>
        <v>0.40230880436661476</v>
      </c>
      <c r="C13" s="11">
        <f>INDEX('Imports - Products'!$H$24:$H$40,MATCH('Import Summary'!$A13,'Imports - Products'!$A$24:$A$40,0),1)*10^-6</f>
        <v>0.23884387911171406</v>
      </c>
      <c r="D13" s="11">
        <f>INDEX(PlasticsDataCompilation!$E$20:$E$36,MATCH('Import Summary'!$A13,PlasticsDataCompilation!$A$20:$A$36,0),1)-INDEX(PlasticsDataCompilation!$D$20:$D$36,MATCH('Import Summary'!$A13,PlasticsDataCompilation!$A$20:$A$36,0),1)</f>
        <v>2.26796</v>
      </c>
      <c r="E13" s="11">
        <f>INDEX(PlasticsUse!$L$94:$L$110,MATCH('Import Summary'!$A13,PlasticsUse!$A$94:$A$110,0))</f>
        <v>0.24274729590067587</v>
      </c>
      <c r="F13" s="11">
        <f t="shared" si="0"/>
        <v>2.6663653875776525</v>
      </c>
    </row>
    <row r="14" spans="1:6" x14ac:dyDescent="0.2">
      <c r="A14" t="str">
        <f>PlasticsUse!A97</f>
        <v>LLDPE</v>
      </c>
      <c r="B14" s="11">
        <f>INDEX(PlasticsDataCompilation!$D$20:$D$36,MATCH('Import Summary'!$A14,PlasticsDataCompilation!$A$20:$A$36,0),1)</f>
        <v>4.9086156859499568E-2</v>
      </c>
      <c r="C14" s="11">
        <f>INDEX('Imports - Products'!$H$24:$H$40,MATCH('Import Summary'!$A14,'Imports - Products'!$A$24:$A$40,0),1)*10^-6</f>
        <v>0.2072496563942299</v>
      </c>
      <c r="D14" s="11">
        <f>INDEX(PlasticsDataCompilation!$E$20:$E$36,MATCH('Import Summary'!$A14,PlasticsDataCompilation!$A$20:$A$36,0),1)-INDEX(PlasticsDataCompilation!$D$20:$D$36,MATCH('Import Summary'!$A14,PlasticsDataCompilation!$A$20:$A$36,0),1)</f>
        <v>2.26796</v>
      </c>
      <c r="E14" s="11">
        <f>INDEX(PlasticsUse!$L$94:$L$110,MATCH('Import Summary'!$A14,PlasticsUse!$A$94:$A$110,0))</f>
        <v>0.21063672995577348</v>
      </c>
      <c r="F14" s="11">
        <f t="shared" si="0"/>
        <v>2.313659083297956</v>
      </c>
    </row>
    <row r="15" spans="1:6" x14ac:dyDescent="0.2">
      <c r="A15" t="str">
        <f>PlasticsUse!A98</f>
        <v>HDPE</v>
      </c>
      <c r="B15" s="11">
        <f>INDEX(PlasticsDataCompilation!$D$20:$D$36,MATCH('Import Summary'!$A15,PlasticsDataCompilation!$A$20:$A$36,0),1)</f>
        <v>0.9723164566521969</v>
      </c>
      <c r="C15" s="11">
        <f>INDEX('Imports - Products'!$H$24:$H$40,MATCH('Import Summary'!$A15,'Imports - Products'!$A$24:$A$40,0),1)*10^-6</f>
        <v>0.28982857345133228</v>
      </c>
      <c r="D15" s="11">
        <f>INDEX(PlasticsDataCompilation!$E$20:$E$36,MATCH('Import Summary'!$A15,PlasticsDataCompilation!$A$20:$A$36,0),1)-INDEX(PlasticsDataCompilation!$D$20:$D$36,MATCH('Import Summary'!$A15,PlasticsDataCompilation!$A$20:$A$36,0),1)</f>
        <v>2.2679599999999995</v>
      </c>
      <c r="E15" s="11">
        <f>INDEX(PlasticsUse!$L$94:$L$110,MATCH('Import Summary'!$A15,PlasticsUse!$A$94:$A$110,0))</f>
        <v>0.29456523123690448</v>
      </c>
      <c r="F15" s="11">
        <f t="shared" si="0"/>
        <v>3.2355397988666246</v>
      </c>
    </row>
    <row r="16" spans="1:6" x14ac:dyDescent="0.2">
      <c r="A16" t="str">
        <f>PlasticsUse!A99</f>
        <v>PP</v>
      </c>
      <c r="B16" s="11">
        <f>INDEX(PlasticsDataCompilation!$D$20:$D$36,MATCH('Import Summary'!$A16,PlasticsDataCompilation!$A$20:$A$36,0),1)</f>
        <v>0.22452861547544853</v>
      </c>
      <c r="C16" s="11">
        <f>INDEX('Imports - Products'!$H$24:$H$40,MATCH('Import Summary'!$A16,'Imports - Products'!$A$24:$A$40,0),1)*10^-6</f>
        <v>0.22294221787276203</v>
      </c>
      <c r="D16" s="11">
        <f>INDEX(PlasticsDataCompilation!$E$20:$E$36,MATCH('Import Summary'!$A16,PlasticsDataCompilation!$A$20:$A$36,0),1)-INDEX(PlasticsDataCompilation!$D$20:$D$36,MATCH('Import Summary'!$A16,PlasticsDataCompilation!$A$20:$A$36,0),1)</f>
        <v>2.26796</v>
      </c>
      <c r="E16" s="11">
        <f>INDEX(PlasticsUse!$L$94:$L$110,MATCH('Import Summary'!$A16,PlasticsUse!$A$94:$A$110,0))</f>
        <v>0.22658575439314271</v>
      </c>
      <c r="F16" s="11">
        <f t="shared" si="0"/>
        <v>2.4888450789550678</v>
      </c>
    </row>
    <row r="17" spans="1:6" x14ac:dyDescent="0.2">
      <c r="A17" t="str">
        <f>PlasticsUse!A100</f>
        <v>PS</v>
      </c>
      <c r="B17" s="11">
        <f>INDEX(PlasticsDataCompilation!$D$20:$D$36,MATCH('Import Summary'!$A17,PlasticsDataCompilation!$A$20:$A$36,0),1)</f>
        <v>5.7299410682534392E-2</v>
      </c>
      <c r="C17" s="11">
        <f>INDEX('Imports - Products'!$H$24:$H$40,MATCH('Import Summary'!$A17,'Imports - Products'!$A$24:$A$40,0),1)*10^-6</f>
        <v>0.20798429606796423</v>
      </c>
      <c r="D17" s="11">
        <f>INDEX(PlasticsDataCompilation!$E$20:$E$36,MATCH('Import Summary'!$A17,PlasticsDataCompilation!$A$20:$A$36,0),1)-INDEX(PlasticsDataCompilation!$D$20:$D$36,MATCH('Import Summary'!$A17,PlasticsDataCompilation!$A$20:$A$36,0),1)</f>
        <v>2.26796</v>
      </c>
      <c r="E17" s="11">
        <f>INDEX(PlasticsUse!$L$94:$L$110,MATCH('Import Summary'!$A17,PlasticsUse!$A$94:$A$110,0))</f>
        <v>0.21138337581885186</v>
      </c>
      <c r="F17" s="11">
        <f t="shared" si="0"/>
        <v>2.321860330931647</v>
      </c>
    </row>
    <row r="18" spans="1:6" x14ac:dyDescent="0.2">
      <c r="A18" t="str">
        <f>PlasticsUse!A101</f>
        <v>EPS</v>
      </c>
      <c r="B18" s="11">
        <f>INDEX(PlasticsDataCompilation!$D$20:$D$36,MATCH('Import Summary'!$A18,PlasticsDataCompilation!$A$20:$A$36,0),1)</f>
        <v>0.11982212178610264</v>
      </c>
      <c r="C18" s="11">
        <f>INDEX('Imports - Products'!$H$24:$H$40,MATCH('Import Summary'!$A18,'Imports - Products'!$A$24:$A$40,0),1)*10^-6</f>
        <v>0.21357667943706077</v>
      </c>
      <c r="D18" s="11">
        <f>INDEX(PlasticsDataCompilation!$E$20:$E$36,MATCH('Import Summary'!$A18,PlasticsDataCompilation!$A$20:$A$36,0),1)-INDEX(PlasticsDataCompilation!$D$20:$D$36,MATCH('Import Summary'!$A18,PlasticsDataCompilation!$A$20:$A$36,0),1)</f>
        <v>2.26796</v>
      </c>
      <c r="E18" s="11">
        <f>INDEX(PlasticsUse!$L$94:$L$110,MATCH('Import Summary'!$A18,PlasticsUse!$A$94:$A$110,0))</f>
        <v>0.21706715530500378</v>
      </c>
      <c r="F18" s="11">
        <f t="shared" si="0"/>
        <v>2.3842916459181596</v>
      </c>
    </row>
    <row r="19" spans="1:6" x14ac:dyDescent="0.2">
      <c r="A19" t="str">
        <f>PlasticsUse!A102</f>
        <v>PVC</v>
      </c>
      <c r="B19" s="11">
        <f>INDEX(PlasticsDataCompilation!$D$20:$D$36,MATCH('Import Summary'!$A19,PlasticsDataCompilation!$A$20:$A$36,0),1)</f>
        <v>0.17534411630514132</v>
      </c>
      <c r="C19" s="11">
        <f>INDEX('Imports - Products'!$H$24:$H$40,MATCH('Import Summary'!$A19,'Imports - Products'!$A$24:$A$40,0),1)*10^-6</f>
        <v>0.21854287929127059</v>
      </c>
      <c r="D19" s="11">
        <f>INDEX(PlasticsDataCompilation!$E$20:$E$36,MATCH('Import Summary'!$A19,PlasticsDataCompilation!$A$20:$A$36,0),1)-INDEX(PlasticsDataCompilation!$D$20:$D$36,MATCH('Import Summary'!$A19,PlasticsDataCompilation!$A$20:$A$36,0),1)</f>
        <v>2.26796</v>
      </c>
      <c r="E19" s="11">
        <f>INDEX(PlasticsUse!$L$94:$L$110,MATCH('Import Summary'!$A19,PlasticsUse!$A$94:$A$110,0))</f>
        <v>0.2221145175819659</v>
      </c>
      <c r="F19" s="11">
        <f t="shared" si="0"/>
        <v>2.439732478014446</v>
      </c>
    </row>
    <row r="20" spans="1:6" x14ac:dyDescent="0.2">
      <c r="A20" t="str">
        <f>PlasticsUse!A103</f>
        <v>PET</v>
      </c>
      <c r="B20" s="11">
        <f>INDEX(PlasticsDataCompilation!$D$20:$D$36,MATCH('Import Summary'!$A20,PlasticsDataCompilation!$A$20:$A$36,0),1)</f>
        <v>0.58416185684134236</v>
      </c>
      <c r="C20" s="11">
        <f>INDEX('Imports - Products'!$H$24:$H$40,MATCH('Import Summary'!$A20,'Imports - Products'!$A$24:$A$40,0),1)*10^-6</f>
        <v>0.52129765829887453</v>
      </c>
      <c r="D20" s="11">
        <f>INDEX(PlasticsDataCompilation!$E$20:$E$36,MATCH('Import Summary'!$A20,PlasticsDataCompilation!$A$20:$A$36,0),1)-INDEX(PlasticsDataCompilation!$D$20:$D$36,MATCH('Import Summary'!$A20,PlasticsDataCompilation!$A$20:$A$36,0),1)</f>
        <v>2.8181818181818183</v>
      </c>
      <c r="E20" s="11">
        <f>INDEX(PlasticsUse!$L$94:$L$110,MATCH('Import Summary'!$A20,PlasticsUse!$A$94:$A$110,0))</f>
        <v>0</v>
      </c>
      <c r="F20" s="11">
        <f t="shared" si="0"/>
        <v>3.9236413333220352</v>
      </c>
    </row>
    <row r="21" spans="1:6" x14ac:dyDescent="0.2">
      <c r="A21" t="str">
        <f>PlasticsUse!A104</f>
        <v>Polyester fiber</v>
      </c>
      <c r="B21" s="11">
        <f>INDEX(PlasticsDataCompilation!$D$20:$D$36,MATCH('Import Summary'!$A21,PlasticsDataCompilation!$A$20:$A$36,0),1)</f>
        <v>0</v>
      </c>
      <c r="C21" s="11">
        <f>INDEX('Imports - Products'!$H$24:$H$40,MATCH('Import Summary'!$A21,'Imports - Products'!$A$24:$A$40,0),1)*10^-6</f>
        <v>0.16305010881823365</v>
      </c>
      <c r="D21" s="11">
        <f>INDEX(PlasticsDataCompilation!$E$20:$E$36,MATCH('Import Summary'!$A21,PlasticsDataCompilation!$A$20:$A$36,0),1)-INDEX(PlasticsDataCompilation!$D$20:$D$36,MATCH('Import Summary'!$A21,PlasticsDataCompilation!$A$20:$A$36,0),1)</f>
        <v>1.2750000000000001</v>
      </c>
      <c r="E21" s="11">
        <f>INDEX(PlasticsUse!$L$94:$L$110,MATCH('Import Summary'!$A21,PlasticsUse!$A$94:$A$110,0))</f>
        <v>0</v>
      </c>
      <c r="F21" s="11">
        <f t="shared" si="0"/>
        <v>1.4380501088182338</v>
      </c>
    </row>
    <row r="22" spans="1:6" x14ac:dyDescent="0.2">
      <c r="A22" t="str">
        <f>PlasticsUse!A105</f>
        <v>ABS</v>
      </c>
      <c r="B22" s="11">
        <f>INDEX(PlasticsDataCompilation!$D$20:$D$36,MATCH('Import Summary'!$A22,PlasticsDataCompilation!$A$20:$A$36,0),1)</f>
        <v>0.10365538034556121</v>
      </c>
      <c r="C22" s="11">
        <f>INDEX('Imports - Products'!$H$24:$H$40,MATCH('Import Summary'!$A22,'Imports - Products'!$A$24:$A$40,0),1)*10^-6</f>
        <v>0.23304678418693911</v>
      </c>
      <c r="D22" s="11">
        <f>INDEX(PlasticsDataCompilation!$E$20:$E$36,MATCH('Import Summary'!$A22,PlasticsDataCompilation!$A$20:$A$36,0),1)-INDEX(PlasticsDataCompilation!$D$20:$D$36,MATCH('Import Summary'!$A22,PlasticsDataCompilation!$A$20:$A$36,0),1)</f>
        <v>0.90210376959999994</v>
      </c>
      <c r="E22" s="11">
        <f>INDEX(PlasticsUse!$L$94:$L$110,MATCH('Import Summary'!$A22,PlasticsUse!$A$94:$A$110,0))</f>
        <v>5.028795749727806E-2</v>
      </c>
      <c r="F22" s="11">
        <f t="shared" si="0"/>
        <v>1.1885179766352223</v>
      </c>
    </row>
    <row r="23" spans="1:6" x14ac:dyDescent="0.2">
      <c r="A23" t="str">
        <f>PlasticsUse!A106</f>
        <v>Polyamide nylon</v>
      </c>
      <c r="B23" s="11">
        <f>INDEX(PlasticsDataCompilation!$D$20:$D$36,MATCH('Import Summary'!$A23,PlasticsDataCompilation!$A$20:$A$36,0),1)</f>
        <v>0.10483072062519065</v>
      </c>
      <c r="C23" s="11">
        <f>INDEX('Imports - Products'!$H$24:$H$40,MATCH('Import Summary'!$A23,'Imports - Products'!$A$24:$A$40,0),1)*10^-6</f>
        <v>0</v>
      </c>
      <c r="D23" s="11">
        <f>INDEX(PlasticsDataCompilation!$E$20:$E$36,MATCH('Import Summary'!$A23,PlasticsDataCompilation!$A$20:$A$36,0),1)-INDEX(PlasticsDataCompilation!$D$20:$D$36,MATCH('Import Summary'!$A23,PlasticsDataCompilation!$A$20:$A$36,0),1)</f>
        <v>0.6</v>
      </c>
      <c r="E23" s="11">
        <f>INDEX(PlasticsUse!$L$94:$L$110,MATCH('Import Summary'!$A23,PlasticsUse!$A$94:$A$110,0))</f>
        <v>0</v>
      </c>
      <c r="F23" s="11">
        <f t="shared" si="0"/>
        <v>0.70483072062519059</v>
      </c>
    </row>
    <row r="24" spans="1:6" x14ac:dyDescent="0.2">
      <c r="A24" t="str">
        <f>PlasticsUse!A107</f>
        <v>Polycarbonate</v>
      </c>
      <c r="B24" s="11">
        <f>INDEX(PlasticsDataCompilation!$D$20:$D$36,MATCH('Import Summary'!$A24,PlasticsDataCompilation!$A$20:$A$36,0),1)</f>
        <v>9.5601559273964853E-2</v>
      </c>
      <c r="C24" s="11">
        <f>INDEX('Imports - Products'!$H$24:$H$40,MATCH('Import Summary'!$A24,'Imports - Products'!$A$24:$A$40,0),1)*10^-6</f>
        <v>0.57505466735404798</v>
      </c>
      <c r="D24" s="11">
        <f>INDEX(PlasticsDataCompilation!$E$20:$E$36,MATCH('Import Summary'!$A24,PlasticsDataCompilation!$A$20:$A$36,0),1)-INDEX(PlasticsDataCompilation!$D$20:$D$36,MATCH('Import Summary'!$A24,PlasticsDataCompilation!$A$20:$A$36,0),1)</f>
        <v>3.9381946060800002</v>
      </c>
      <c r="E24" s="11">
        <f>INDEX(PlasticsUse!$L$94:$L$110,MATCH('Import Summary'!$A24,PlasticsUse!$A$94:$A$110,0))</f>
        <v>0</v>
      </c>
      <c r="F24" s="11">
        <f t="shared" si="0"/>
        <v>4.6088508327080131</v>
      </c>
    </row>
    <row r="25" spans="1:6" x14ac:dyDescent="0.2">
      <c r="A25" t="str">
        <f>PlasticsUse!A108</f>
        <v>Styrene butadiene rubber</v>
      </c>
      <c r="B25" s="11">
        <f>INDEX(PlasticsDataCompilation!$D$20:$D$36,MATCH('Import Summary'!$A25,PlasticsDataCompilation!$A$20:$A$36,0),1)</f>
        <v>0</v>
      </c>
      <c r="C25" s="11">
        <f>INDEX('Imports - Products'!$H$24:$H$40,MATCH('Import Summary'!$A25,'Imports - Products'!$A$24:$A$40,0),1)*10^-6</f>
        <v>0.1927674190771789</v>
      </c>
      <c r="D25" s="11">
        <f>INDEX(PlasticsDataCompilation!$E$20:$E$36,MATCH('Import Summary'!$A25,PlasticsDataCompilation!$A$20:$A$36,0),1)-INDEX(PlasticsDataCompilation!$D$20:$D$36,MATCH('Import Summary'!$A25,PlasticsDataCompilation!$A$20:$A$36,0),1)</f>
        <v>0.88999921348800004</v>
      </c>
      <c r="E25" s="11">
        <f>INDEX(PlasticsUse!$L$94:$L$110,MATCH('Import Summary'!$A25,PlasticsUse!$A$94:$A$110,0))</f>
        <v>0</v>
      </c>
      <c r="F25" s="11">
        <f t="shared" si="0"/>
        <v>1.082766632565179</v>
      </c>
    </row>
    <row r="26" spans="1:6" x14ac:dyDescent="0.2">
      <c r="A26" t="str">
        <f>PlasticsUse!A109</f>
        <v>Other resins</v>
      </c>
      <c r="B26" s="11">
        <f>INDEX(PlasticsDataCompilation!$D$20:$D$36,MATCH('Import Summary'!$A26,PlasticsDataCompilation!$A$20:$A$36,0),1)</f>
        <v>2.2635924861555377</v>
      </c>
      <c r="C26" s="11">
        <f>INDEX('Imports - Products'!$H$24:$H$40,MATCH('Import Summary'!$A26,'Imports - Products'!$A$24:$A$40,0),1)*10^-6</f>
        <v>0</v>
      </c>
      <c r="D26" s="11">
        <f>INDEX(PlasticsDataCompilation!$E$20:$E$36,MATCH('Import Summary'!$A26,PlasticsDataCompilation!$A$20:$A$36,0),1)-INDEX(PlasticsDataCompilation!$D$20:$D$36,MATCH('Import Summary'!$A26,PlasticsDataCompilation!$A$20:$A$36,0),1)</f>
        <v>0</v>
      </c>
      <c r="E26" s="11">
        <f>INDEX(PlasticsUse!$L$94:$L$110,MATCH('Import Summary'!$A26,PlasticsUse!$A$94:$A$110,0))</f>
        <v>0</v>
      </c>
      <c r="F26" s="11">
        <f t="shared" si="0"/>
        <v>2.2635924861555377</v>
      </c>
    </row>
    <row r="27" spans="1:6" x14ac:dyDescent="0.2">
      <c r="A27" t="str">
        <f>PlasticsUse!A110</f>
        <v>Copolymers</v>
      </c>
      <c r="B27" s="11">
        <f>INDEX(PlasticsDataCompilation!$D$20:$D$36,MATCH('Import Summary'!$A27,PlasticsDataCompilation!$A$20:$A$36,0),1)</f>
        <v>0.98589352833803645</v>
      </c>
      <c r="C27" s="11">
        <f>INDEX('Imports - Products'!$H$24:$H$40,MATCH('Import Summary'!$A27,'Imports - Products'!$A$24:$A$40,0),1)*10^-6</f>
        <v>0</v>
      </c>
      <c r="D27" s="11">
        <f>INDEX(PlasticsDataCompilation!$E$20:$E$36,MATCH('Import Summary'!$A27,PlasticsDataCompilation!$A$20:$A$36,0),1)-INDEX(PlasticsDataCompilation!$D$20:$D$36,MATCH('Import Summary'!$A27,PlasticsDataCompilation!$A$20:$A$36,0),1)</f>
        <v>0</v>
      </c>
      <c r="E27" s="11">
        <f>INDEX(PlasticsUse!$L$94:$L$110,MATCH('Import Summary'!$A27,PlasticsUse!$A$94:$A$110,0))</f>
        <v>0</v>
      </c>
      <c r="F27" s="11">
        <f t="shared" si="0"/>
        <v>0.98589352833803645</v>
      </c>
    </row>
    <row r="28" spans="1:6" x14ac:dyDescent="0.2">
      <c r="A28" t="str">
        <f>PlasticsUse!A111</f>
        <v>TOTAL</v>
      </c>
      <c r="B28" s="11">
        <f>SUM(B11:B27)</f>
        <v>6.2239122996776493</v>
      </c>
      <c r="C28" s="11">
        <f t="shared" ref="C28:F28" si="1">SUM(C11:C27)</f>
        <v>5.8885366966447164</v>
      </c>
      <c r="D28" s="11">
        <f t="shared" si="1"/>
        <v>53.515172999349822</v>
      </c>
      <c r="E28" s="11">
        <f t="shared" si="1"/>
        <v>3.9511179751422314</v>
      </c>
      <c r="F28" s="11">
        <f t="shared" si="1"/>
        <v>61.676504020529961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958623-70DB-4845-B1A0-A380C2D27456}">
  <dimension ref="A1:Y113"/>
  <sheetViews>
    <sheetView topLeftCell="A30" zoomScale="110" zoomScaleNormal="110" workbookViewId="0">
      <selection activeCell="I31" sqref="I31"/>
    </sheetView>
  </sheetViews>
  <sheetFormatPr baseColWidth="10" defaultRowHeight="16" x14ac:dyDescent="0.2"/>
  <cols>
    <col min="1" max="1" width="22.6640625" customWidth="1"/>
    <col min="2" max="2" width="11.1640625" customWidth="1"/>
    <col min="3" max="3" width="10.1640625" customWidth="1"/>
  </cols>
  <sheetData>
    <row r="1" spans="1:25" ht="21" x14ac:dyDescent="0.25">
      <c r="A1" s="19" t="s">
        <v>80</v>
      </c>
    </row>
    <row r="2" spans="1:25" x14ac:dyDescent="0.2">
      <c r="A2" t="s">
        <v>81</v>
      </c>
    </row>
    <row r="3" spans="1:25" x14ac:dyDescent="0.2">
      <c r="A3" s="201" t="s">
        <v>935</v>
      </c>
      <c r="B3" s="202"/>
      <c r="C3" s="202"/>
      <c r="D3" s="202"/>
      <c r="E3" s="202"/>
      <c r="F3" s="202"/>
      <c r="G3" s="202"/>
      <c r="H3" s="202"/>
      <c r="I3" s="202"/>
    </row>
    <row r="4" spans="1:25" ht="19" x14ac:dyDescent="0.25">
      <c r="B4" s="184" t="s">
        <v>90</v>
      </c>
      <c r="C4" s="184"/>
      <c r="D4" s="184"/>
      <c r="E4" s="184"/>
      <c r="F4" s="184"/>
      <c r="G4" s="184"/>
      <c r="H4" s="184"/>
      <c r="I4" s="184"/>
      <c r="J4" s="184" t="s">
        <v>94</v>
      </c>
      <c r="K4" s="184"/>
      <c r="L4" s="184"/>
      <c r="M4" s="184"/>
      <c r="N4" s="184"/>
      <c r="O4" s="184"/>
      <c r="P4" s="184"/>
      <c r="Q4" s="184"/>
      <c r="R4" s="184"/>
      <c r="S4" s="184"/>
      <c r="T4" s="184"/>
      <c r="U4" s="184"/>
      <c r="V4" s="184"/>
      <c r="W4" s="184"/>
      <c r="X4" s="184"/>
      <c r="Y4" s="184"/>
    </row>
    <row r="5" spans="1:25" x14ac:dyDescent="0.2">
      <c r="B5" s="183" t="s">
        <v>82</v>
      </c>
      <c r="C5" s="183"/>
      <c r="D5" s="183" t="s">
        <v>87</v>
      </c>
      <c r="E5" s="183"/>
      <c r="F5" s="183" t="s">
        <v>88</v>
      </c>
      <c r="G5" s="183"/>
      <c r="H5" s="183" t="s">
        <v>89</v>
      </c>
      <c r="I5" s="183"/>
      <c r="J5" s="183" t="s">
        <v>8</v>
      </c>
      <c r="K5" s="183"/>
      <c r="L5" s="183" t="s">
        <v>19</v>
      </c>
      <c r="M5" s="183"/>
      <c r="N5" s="183" t="s">
        <v>1</v>
      </c>
      <c r="O5" s="183"/>
      <c r="P5" s="183" t="s">
        <v>10</v>
      </c>
      <c r="Q5" s="183"/>
      <c r="R5" s="183" t="s">
        <v>11</v>
      </c>
      <c r="S5" s="183"/>
      <c r="T5" s="183" t="s">
        <v>25</v>
      </c>
      <c r="U5" s="183"/>
      <c r="V5" s="183" t="s">
        <v>7</v>
      </c>
      <c r="W5" s="183"/>
      <c r="X5" s="183" t="s">
        <v>93</v>
      </c>
      <c r="Y5" s="183"/>
    </row>
    <row r="6" spans="1:25" x14ac:dyDescent="0.2">
      <c r="A6" s="2" t="s">
        <v>83</v>
      </c>
      <c r="B6" s="2" t="s">
        <v>29</v>
      </c>
      <c r="C6" s="2" t="s">
        <v>84</v>
      </c>
      <c r="D6" s="2" t="s">
        <v>29</v>
      </c>
      <c r="E6" s="2" t="s">
        <v>84</v>
      </c>
      <c r="F6" s="2" t="s">
        <v>29</v>
      </c>
      <c r="G6" s="2" t="s">
        <v>84</v>
      </c>
      <c r="H6" s="2" t="s">
        <v>29</v>
      </c>
      <c r="I6" s="2" t="s">
        <v>84</v>
      </c>
      <c r="J6" s="2" t="s">
        <v>29</v>
      </c>
      <c r="K6" s="2" t="s">
        <v>84</v>
      </c>
      <c r="L6" s="2" t="s">
        <v>29</v>
      </c>
      <c r="M6" s="2" t="s">
        <v>84</v>
      </c>
      <c r="N6" s="2" t="s">
        <v>29</v>
      </c>
      <c r="O6" s="2" t="s">
        <v>84</v>
      </c>
      <c r="P6" s="2" t="s">
        <v>29</v>
      </c>
      <c r="Q6" s="2" t="s">
        <v>84</v>
      </c>
      <c r="R6" s="2" t="s">
        <v>29</v>
      </c>
      <c r="S6" s="2" t="s">
        <v>84</v>
      </c>
      <c r="T6" s="2" t="s">
        <v>29</v>
      </c>
      <c r="U6" s="2" t="s">
        <v>84</v>
      </c>
      <c r="V6" s="2" t="s">
        <v>29</v>
      </c>
      <c r="W6" s="2" t="s">
        <v>84</v>
      </c>
      <c r="X6" s="2" t="s">
        <v>29</v>
      </c>
      <c r="Y6" s="2" t="s">
        <v>84</v>
      </c>
    </row>
    <row r="7" spans="1:25" x14ac:dyDescent="0.2">
      <c r="A7" t="s">
        <v>38</v>
      </c>
      <c r="B7" s="22">
        <v>5000</v>
      </c>
      <c r="C7" s="23">
        <f>B7/B$19</f>
        <v>9.0907438046580968E-2</v>
      </c>
      <c r="E7" s="23"/>
      <c r="G7" s="23"/>
      <c r="I7" s="23"/>
      <c r="J7" s="22">
        <v>5000</v>
      </c>
      <c r="K7" s="23">
        <f>J7/J$19</f>
        <v>9.0907438046580968E-2</v>
      </c>
      <c r="L7" s="22">
        <v>5000</v>
      </c>
      <c r="M7" s="23">
        <f>L7/L$19</f>
        <v>9.0907438046580968E-2</v>
      </c>
      <c r="N7" s="22">
        <v>5000</v>
      </c>
      <c r="O7" s="23">
        <f>N7/N$19</f>
        <v>9.0907438046580968E-2</v>
      </c>
      <c r="P7" s="22">
        <v>5000</v>
      </c>
      <c r="Q7" s="23">
        <f>P7/P$19</f>
        <v>9.0907438046580968E-2</v>
      </c>
      <c r="R7" s="22">
        <v>5000</v>
      </c>
      <c r="S7" s="23">
        <f>R7/R$19</f>
        <v>9.0907438046580968E-2</v>
      </c>
      <c r="T7" s="22">
        <v>5000</v>
      </c>
      <c r="U7" s="23">
        <f>T7/T$19</f>
        <v>9.0907438046580968E-2</v>
      </c>
      <c r="V7" s="22">
        <v>5000</v>
      </c>
      <c r="W7" s="23">
        <f>V7/V$19</f>
        <v>9.0907438046580968E-2</v>
      </c>
      <c r="X7" s="22">
        <v>5000</v>
      </c>
      <c r="Y7" s="23">
        <f>X7/X$19</f>
        <v>9.0909090909090912E-2</v>
      </c>
    </row>
    <row r="8" spans="1:25" x14ac:dyDescent="0.2">
      <c r="A8" t="s">
        <v>99</v>
      </c>
      <c r="B8" s="22">
        <v>5000</v>
      </c>
      <c r="C8" s="23">
        <f>B8/B$19</f>
        <v>9.0907438046580968E-2</v>
      </c>
      <c r="E8" s="23"/>
      <c r="G8" s="23"/>
      <c r="I8" s="23"/>
      <c r="J8" s="22">
        <v>5000</v>
      </c>
      <c r="K8" s="23">
        <f>J8/J$19</f>
        <v>9.0907438046580968E-2</v>
      </c>
      <c r="L8" s="22">
        <v>5000</v>
      </c>
      <c r="M8" s="23">
        <f>L8/L$19</f>
        <v>9.0907438046580968E-2</v>
      </c>
      <c r="N8" s="22">
        <v>5000</v>
      </c>
      <c r="O8" s="23">
        <f>N8/N$19</f>
        <v>9.0907438046580968E-2</v>
      </c>
      <c r="P8" s="22">
        <v>5000</v>
      </c>
      <c r="Q8" s="23">
        <f>P8/P$19</f>
        <v>9.0907438046580968E-2</v>
      </c>
      <c r="R8" s="22">
        <v>5000</v>
      </c>
      <c r="S8" s="23">
        <f>R8/R$19</f>
        <v>9.0907438046580968E-2</v>
      </c>
      <c r="T8" s="22">
        <v>5000</v>
      </c>
      <c r="U8" s="23">
        <f>T8/T$19</f>
        <v>9.0907438046580968E-2</v>
      </c>
      <c r="V8" s="22">
        <v>5000</v>
      </c>
      <c r="W8" s="23">
        <f>V8/V$19</f>
        <v>9.0907438046580968E-2</v>
      </c>
      <c r="X8" s="22">
        <v>5000</v>
      </c>
      <c r="Y8" s="23">
        <f>X8/X$19</f>
        <v>9.0909090909090912E-2</v>
      </c>
    </row>
    <row r="9" spans="1:25" x14ac:dyDescent="0.2">
      <c r="A9" t="s">
        <v>69</v>
      </c>
      <c r="B9" s="22">
        <v>5000</v>
      </c>
      <c r="C9" s="23">
        <f>B9/B$19</f>
        <v>9.0907438046580968E-2</v>
      </c>
      <c r="E9" s="23"/>
      <c r="G9" s="23"/>
      <c r="I9" s="23"/>
      <c r="J9" s="22">
        <v>5000</v>
      </c>
      <c r="K9" s="23">
        <f>J9/J$19</f>
        <v>9.0907438046580968E-2</v>
      </c>
      <c r="L9" s="22">
        <v>5000</v>
      </c>
      <c r="M9" s="23">
        <f>L9/L$19</f>
        <v>9.0907438046580968E-2</v>
      </c>
      <c r="N9" s="22">
        <v>5000</v>
      </c>
      <c r="O9" s="23">
        <f>N9/N$19</f>
        <v>9.0907438046580968E-2</v>
      </c>
      <c r="P9" s="22">
        <v>5000</v>
      </c>
      <c r="Q9" s="23">
        <f>P9/P$19</f>
        <v>9.0907438046580968E-2</v>
      </c>
      <c r="R9" s="22">
        <v>5000</v>
      </c>
      <c r="S9" s="23">
        <f>R9/R$19</f>
        <v>9.0907438046580968E-2</v>
      </c>
      <c r="T9" s="22">
        <v>5000</v>
      </c>
      <c r="U9" s="23">
        <f>T9/T$19</f>
        <v>9.0907438046580968E-2</v>
      </c>
      <c r="V9" s="22">
        <v>5000</v>
      </c>
      <c r="W9" s="23">
        <f>V9/V$19</f>
        <v>9.0907438046580968E-2</v>
      </c>
      <c r="X9" s="22">
        <v>5000</v>
      </c>
      <c r="Y9" s="23">
        <f>X9/X$19</f>
        <v>9.0909090909090912E-2</v>
      </c>
    </row>
    <row r="10" spans="1:25" x14ac:dyDescent="0.2">
      <c r="A10" t="s">
        <v>100</v>
      </c>
      <c r="B10" s="22">
        <v>5000</v>
      </c>
      <c r="C10" s="23">
        <f>B10/B$19</f>
        <v>9.0907438046580968E-2</v>
      </c>
      <c r="E10" s="23"/>
      <c r="G10" s="23"/>
      <c r="I10" s="23"/>
      <c r="J10" s="22">
        <v>5000</v>
      </c>
      <c r="K10" s="23">
        <f>J10/J$19</f>
        <v>9.0907438046580968E-2</v>
      </c>
      <c r="L10" s="22">
        <v>5000</v>
      </c>
      <c r="M10" s="23">
        <f>L10/L$19</f>
        <v>9.0907438046580968E-2</v>
      </c>
      <c r="N10" s="22">
        <v>5000</v>
      </c>
      <c r="O10" s="23">
        <f>N10/N$19</f>
        <v>9.0907438046580968E-2</v>
      </c>
      <c r="P10" s="22">
        <v>5000</v>
      </c>
      <c r="Q10" s="23">
        <f>P10/P$19</f>
        <v>9.0907438046580968E-2</v>
      </c>
      <c r="R10" s="22">
        <v>5000</v>
      </c>
      <c r="S10" s="23">
        <f>R10/R$19</f>
        <v>9.0907438046580968E-2</v>
      </c>
      <c r="T10" s="22">
        <v>5000</v>
      </c>
      <c r="U10" s="23">
        <f>T10/T$19</f>
        <v>9.0907438046580968E-2</v>
      </c>
      <c r="V10" s="22">
        <v>5000</v>
      </c>
      <c r="W10" s="23">
        <f>V10/V$19</f>
        <v>9.0907438046580968E-2</v>
      </c>
      <c r="X10" s="22">
        <v>5000</v>
      </c>
      <c r="Y10" s="23">
        <f>X10/X$19</f>
        <v>9.0909090909090912E-2</v>
      </c>
    </row>
    <row r="11" spans="1:25" x14ac:dyDescent="0.2">
      <c r="A11" t="s">
        <v>39</v>
      </c>
      <c r="B11" s="22">
        <v>5000</v>
      </c>
      <c r="C11" s="23">
        <f>B11/B$19</f>
        <v>9.0907438046580968E-2</v>
      </c>
      <c r="E11" s="23"/>
      <c r="G11" s="23"/>
      <c r="I11" s="23"/>
      <c r="J11" s="22">
        <v>5000</v>
      </c>
      <c r="K11" s="23">
        <f>J11/J$19</f>
        <v>9.0907438046580968E-2</v>
      </c>
      <c r="L11" s="22">
        <v>5000</v>
      </c>
      <c r="M11" s="23">
        <f>L11/L$19</f>
        <v>9.0907438046580968E-2</v>
      </c>
      <c r="N11" s="22">
        <v>5000</v>
      </c>
      <c r="O11" s="23">
        <f>N11/N$19</f>
        <v>9.0907438046580968E-2</v>
      </c>
      <c r="P11" s="22">
        <v>5000</v>
      </c>
      <c r="Q11" s="23">
        <f>P11/P$19</f>
        <v>9.0907438046580968E-2</v>
      </c>
      <c r="R11" s="22">
        <v>5000</v>
      </c>
      <c r="S11" s="23">
        <f>R11/R$19</f>
        <v>9.0907438046580968E-2</v>
      </c>
      <c r="T11" s="22">
        <v>5000</v>
      </c>
      <c r="U11" s="23">
        <f>T11/T$19</f>
        <v>9.0907438046580968E-2</v>
      </c>
      <c r="V11" s="22">
        <v>5000</v>
      </c>
      <c r="W11" s="23">
        <f>V11/V$19</f>
        <v>9.0907438046580968E-2</v>
      </c>
      <c r="X11" s="22">
        <v>5000</v>
      </c>
      <c r="Y11" s="23">
        <f>X11/X$19</f>
        <v>9.0909090909090912E-2</v>
      </c>
    </row>
    <row r="12" spans="1:25" x14ac:dyDescent="0.2">
      <c r="A12" s="36" t="s">
        <v>84</v>
      </c>
      <c r="B12" s="24">
        <f>B11/$X$11</f>
        <v>1</v>
      </c>
      <c r="C12" s="23"/>
      <c r="E12" s="23"/>
      <c r="G12" s="23"/>
      <c r="I12" s="23"/>
      <c r="J12" s="24">
        <f>J11/$X$11</f>
        <v>1</v>
      </c>
      <c r="K12" s="23"/>
      <c r="L12" s="24">
        <f>L11/$X$11</f>
        <v>1</v>
      </c>
      <c r="M12" s="23"/>
      <c r="N12" s="24">
        <f>N11/$X$11</f>
        <v>1</v>
      </c>
      <c r="O12" s="23"/>
      <c r="P12" s="24">
        <f>P11/$X$11</f>
        <v>1</v>
      </c>
      <c r="Q12" s="23"/>
      <c r="R12" s="24">
        <f>R11/$X$11</f>
        <v>1</v>
      </c>
      <c r="S12" s="23"/>
      <c r="T12" s="24">
        <f>T11/$X$11</f>
        <v>1</v>
      </c>
      <c r="U12" s="23"/>
      <c r="V12" s="24">
        <f>V11/$X$11</f>
        <v>1</v>
      </c>
      <c r="W12" s="23"/>
      <c r="X12" s="22"/>
      <c r="Y12" s="23"/>
    </row>
    <row r="13" spans="1:25" x14ac:dyDescent="0.2">
      <c r="A13" t="s">
        <v>68</v>
      </c>
      <c r="B13" s="22">
        <v>5000</v>
      </c>
      <c r="C13" s="23">
        <f t="shared" ref="C13:C18" si="0">B13/B$19</f>
        <v>9.0907438046580968E-2</v>
      </c>
      <c r="E13" s="23"/>
      <c r="G13" s="23"/>
      <c r="I13" s="23"/>
      <c r="J13" s="22">
        <v>5000</v>
      </c>
      <c r="K13" s="23">
        <f>J13/J$19</f>
        <v>9.0907438046580968E-2</v>
      </c>
      <c r="L13" s="22">
        <v>5000</v>
      </c>
      <c r="M13" s="23">
        <f>L13/L$19</f>
        <v>9.0907438046580968E-2</v>
      </c>
      <c r="N13" s="22">
        <v>5000</v>
      </c>
      <c r="O13" s="23">
        <f>N13/N$19</f>
        <v>9.0907438046580968E-2</v>
      </c>
      <c r="P13" s="22">
        <v>5000</v>
      </c>
      <c r="Q13" s="23">
        <f>P13/P$19</f>
        <v>9.0907438046580968E-2</v>
      </c>
      <c r="R13" s="22">
        <v>5000</v>
      </c>
      <c r="S13" s="23">
        <f>R13/R$19</f>
        <v>9.0907438046580968E-2</v>
      </c>
      <c r="T13" s="22">
        <v>5000</v>
      </c>
      <c r="U13" s="23">
        <f>T13/T$19</f>
        <v>9.0907438046580968E-2</v>
      </c>
      <c r="V13" s="22">
        <v>5000</v>
      </c>
      <c r="W13" s="23">
        <f>V13/V$19</f>
        <v>9.0907438046580968E-2</v>
      </c>
      <c r="X13" s="22">
        <v>5000</v>
      </c>
      <c r="Y13" s="23">
        <f>X13/X$19</f>
        <v>9.0909090909090912E-2</v>
      </c>
    </row>
    <row r="14" spans="1:25" x14ac:dyDescent="0.2">
      <c r="A14" t="s">
        <v>63</v>
      </c>
      <c r="B14" s="22">
        <v>5000</v>
      </c>
      <c r="C14" s="23">
        <f t="shared" si="0"/>
        <v>9.0907438046580968E-2</v>
      </c>
      <c r="E14" s="23"/>
      <c r="G14" s="23"/>
      <c r="I14" s="23"/>
      <c r="J14" s="22">
        <v>5000</v>
      </c>
      <c r="K14" s="23">
        <f>J14/J$19</f>
        <v>9.0907438046580968E-2</v>
      </c>
      <c r="L14" s="22">
        <v>5000</v>
      </c>
      <c r="M14" s="23">
        <f>L14/L$19</f>
        <v>9.0907438046580968E-2</v>
      </c>
      <c r="N14" s="22">
        <v>5000</v>
      </c>
      <c r="O14" s="23">
        <f>N14/N$19</f>
        <v>9.0907438046580968E-2</v>
      </c>
      <c r="P14" s="22">
        <v>5000</v>
      </c>
      <c r="Q14" s="23">
        <f>P14/P$19</f>
        <v>9.0907438046580968E-2</v>
      </c>
      <c r="R14" s="22">
        <v>5000</v>
      </c>
      <c r="S14" s="23">
        <f>R14/R$19</f>
        <v>9.0907438046580968E-2</v>
      </c>
      <c r="T14" s="22">
        <v>5000</v>
      </c>
      <c r="U14" s="23">
        <f>T14/T$19</f>
        <v>9.0907438046580968E-2</v>
      </c>
      <c r="V14" s="22">
        <v>5000</v>
      </c>
      <c r="W14" s="23">
        <f>V14/V$19</f>
        <v>9.0907438046580968E-2</v>
      </c>
      <c r="X14" s="22">
        <v>5000</v>
      </c>
      <c r="Y14" s="23">
        <f>X14/X$19</f>
        <v>9.0909090909090912E-2</v>
      </c>
    </row>
    <row r="15" spans="1:25" x14ac:dyDescent="0.2">
      <c r="A15" t="s">
        <v>92</v>
      </c>
      <c r="B15" s="22">
        <v>5000</v>
      </c>
      <c r="C15" s="23">
        <f t="shared" si="0"/>
        <v>9.0907438046580968E-2</v>
      </c>
      <c r="E15" s="23"/>
      <c r="G15" s="23"/>
      <c r="I15" s="23"/>
      <c r="J15" s="22">
        <v>5000</v>
      </c>
      <c r="K15" s="23">
        <f>J15/J$19</f>
        <v>9.0907438046580968E-2</v>
      </c>
      <c r="L15" s="22">
        <v>5000</v>
      </c>
      <c r="M15" s="23">
        <f>L15/L$19</f>
        <v>9.0907438046580968E-2</v>
      </c>
      <c r="N15" s="22">
        <v>5000</v>
      </c>
      <c r="O15" s="23">
        <f>N15/N$19</f>
        <v>9.0907438046580968E-2</v>
      </c>
      <c r="P15" s="22">
        <v>5000</v>
      </c>
      <c r="Q15" s="23">
        <f>P15/P$19</f>
        <v>9.0907438046580968E-2</v>
      </c>
      <c r="R15" s="22">
        <v>5000</v>
      </c>
      <c r="S15" s="23">
        <f>R15/R$19</f>
        <v>9.0907438046580968E-2</v>
      </c>
      <c r="T15" s="22">
        <v>5000</v>
      </c>
      <c r="U15" s="23">
        <f>T15/T$19</f>
        <v>9.0907438046580968E-2</v>
      </c>
      <c r="V15" s="22">
        <v>5000</v>
      </c>
      <c r="W15" s="23">
        <f>V15/V$19</f>
        <v>9.0907438046580968E-2</v>
      </c>
      <c r="X15" s="22">
        <v>5000</v>
      </c>
      <c r="Y15" s="23">
        <f>X15/X$19</f>
        <v>9.0909090909090912E-2</v>
      </c>
    </row>
    <row r="16" spans="1:25" x14ac:dyDescent="0.2">
      <c r="A16" t="s">
        <v>103</v>
      </c>
      <c r="B16" s="22">
        <v>5000</v>
      </c>
      <c r="C16" s="23">
        <f t="shared" si="0"/>
        <v>9.0907438046580968E-2</v>
      </c>
      <c r="E16" s="23"/>
      <c r="G16" s="23"/>
      <c r="I16" s="23"/>
      <c r="J16" s="22">
        <v>5000</v>
      </c>
      <c r="K16" s="23">
        <f>J16/J$19</f>
        <v>9.0907438046580968E-2</v>
      </c>
      <c r="L16" s="22">
        <v>5000</v>
      </c>
      <c r="M16" s="23">
        <f>L16/L$19</f>
        <v>9.0907438046580968E-2</v>
      </c>
      <c r="N16" s="22">
        <v>5000</v>
      </c>
      <c r="O16" s="23">
        <f>N16/N$19</f>
        <v>9.0907438046580968E-2</v>
      </c>
      <c r="P16" s="22">
        <v>5000</v>
      </c>
      <c r="Q16" s="23">
        <f>P16/P$19</f>
        <v>9.0907438046580968E-2</v>
      </c>
      <c r="R16" s="22">
        <v>5000</v>
      </c>
      <c r="S16" s="23">
        <f>R16/R$19</f>
        <v>9.0907438046580968E-2</v>
      </c>
      <c r="T16" s="22">
        <v>5000</v>
      </c>
      <c r="U16" s="23">
        <f>T16/T$19</f>
        <v>9.0907438046580968E-2</v>
      </c>
      <c r="V16" s="22">
        <v>5000</v>
      </c>
      <c r="W16" s="23">
        <f>V16/V$19</f>
        <v>9.0907438046580968E-2</v>
      </c>
      <c r="X16" s="22">
        <v>5000</v>
      </c>
      <c r="Y16" s="23">
        <f>X16/X$19</f>
        <v>9.0909090909090912E-2</v>
      </c>
    </row>
    <row r="17" spans="1:25" x14ac:dyDescent="0.2">
      <c r="A17" t="s">
        <v>86</v>
      </c>
      <c r="B17" s="22">
        <v>5000</v>
      </c>
      <c r="C17" s="23">
        <f t="shared" si="0"/>
        <v>9.0907438046580968E-2</v>
      </c>
      <c r="E17" s="23"/>
      <c r="G17" s="23"/>
      <c r="I17" s="23"/>
      <c r="J17" s="22">
        <v>5000</v>
      </c>
      <c r="K17" s="23">
        <f t="shared" ref="K17:M17" si="1">J17/J$19</f>
        <v>9.0907438046580968E-2</v>
      </c>
      <c r="L17" s="22">
        <v>5000</v>
      </c>
      <c r="M17" s="23">
        <f t="shared" si="1"/>
        <v>9.0907438046580968E-2</v>
      </c>
      <c r="N17" s="22">
        <v>5000</v>
      </c>
      <c r="O17" s="23">
        <f t="shared" ref="O17:Q17" si="2">N17/N$19</f>
        <v>9.0907438046580968E-2</v>
      </c>
      <c r="P17" s="22">
        <v>5000</v>
      </c>
      <c r="Q17" s="23">
        <f t="shared" si="2"/>
        <v>9.0907438046580968E-2</v>
      </c>
      <c r="R17" s="22">
        <v>5000</v>
      </c>
      <c r="S17" s="23">
        <f t="shared" ref="S17:U17" si="3">R17/R$19</f>
        <v>9.0907438046580968E-2</v>
      </c>
      <c r="T17" s="22">
        <v>5000</v>
      </c>
      <c r="U17" s="23">
        <f t="shared" si="3"/>
        <v>9.0907438046580968E-2</v>
      </c>
      <c r="V17" s="22">
        <v>5000</v>
      </c>
      <c r="W17" s="23">
        <f t="shared" ref="W17:Y17" si="4">V17/V$19</f>
        <v>9.0907438046580968E-2</v>
      </c>
      <c r="X17" s="22">
        <v>5000</v>
      </c>
      <c r="Y17" s="23">
        <f t="shared" si="4"/>
        <v>9.0909090909090912E-2</v>
      </c>
    </row>
    <row r="18" spans="1:25" x14ac:dyDescent="0.2">
      <c r="A18" t="s">
        <v>18</v>
      </c>
      <c r="B18" s="22">
        <v>5000</v>
      </c>
      <c r="C18" s="23">
        <f t="shared" si="0"/>
        <v>9.0907438046580968E-2</v>
      </c>
      <c r="E18" s="23"/>
      <c r="G18" s="23"/>
      <c r="I18" s="23"/>
      <c r="J18" s="22">
        <v>5000</v>
      </c>
      <c r="K18" s="23">
        <f t="shared" ref="K18:M18" si="5">J18/J$19</f>
        <v>9.0907438046580968E-2</v>
      </c>
      <c r="L18" s="22">
        <v>5000</v>
      </c>
      <c r="M18" s="23">
        <f t="shared" si="5"/>
        <v>9.0907438046580968E-2</v>
      </c>
      <c r="N18" s="22">
        <v>5000</v>
      </c>
      <c r="O18" s="23">
        <f t="shared" ref="O18:Q18" si="6">N18/N$19</f>
        <v>9.0907438046580968E-2</v>
      </c>
      <c r="P18" s="22">
        <v>5000</v>
      </c>
      <c r="Q18" s="23">
        <f t="shared" si="6"/>
        <v>9.0907438046580968E-2</v>
      </c>
      <c r="R18" s="22">
        <v>5000</v>
      </c>
      <c r="S18" s="23">
        <f t="shared" ref="S18:U18" si="7">R18/R$19</f>
        <v>9.0907438046580968E-2</v>
      </c>
      <c r="T18" s="22">
        <v>5000</v>
      </c>
      <c r="U18" s="23">
        <f t="shared" si="7"/>
        <v>9.0907438046580968E-2</v>
      </c>
      <c r="V18" s="22">
        <v>5000</v>
      </c>
      <c r="W18" s="23">
        <f t="shared" ref="W18:Y18" si="8">V18/V$19</f>
        <v>9.0907438046580968E-2</v>
      </c>
      <c r="X18" s="22">
        <v>5000</v>
      </c>
      <c r="Y18" s="23">
        <f t="shared" si="8"/>
        <v>9.0909090909090912E-2</v>
      </c>
    </row>
    <row r="19" spans="1:25" x14ac:dyDescent="0.2">
      <c r="A19" t="s">
        <v>40</v>
      </c>
      <c r="B19" s="22">
        <f>SUM(B7:B18)</f>
        <v>55001</v>
      </c>
      <c r="C19" s="24">
        <f>SUM(C7:C18)</f>
        <v>0.99998181851239065</v>
      </c>
      <c r="D19" s="22">
        <f>SUM(D7:D17)</f>
        <v>0</v>
      </c>
      <c r="E19" s="24">
        <f>SUM(E7:E18)</f>
        <v>0</v>
      </c>
      <c r="F19" s="22">
        <f>SUM(F7:F17)</f>
        <v>0</v>
      </c>
      <c r="G19" s="24">
        <f t="shared" ref="G19:Y19" si="9">SUM(G7:G18)</f>
        <v>0</v>
      </c>
      <c r="H19" s="22">
        <f t="shared" si="9"/>
        <v>0</v>
      </c>
      <c r="I19" s="24">
        <f t="shared" si="9"/>
        <v>0</v>
      </c>
      <c r="J19" s="22">
        <f t="shared" si="9"/>
        <v>55001</v>
      </c>
      <c r="K19" s="24">
        <f t="shared" si="9"/>
        <v>0.99998181851239065</v>
      </c>
      <c r="L19" s="22">
        <f t="shared" si="9"/>
        <v>55001</v>
      </c>
      <c r="M19" s="24">
        <f t="shared" si="9"/>
        <v>0.99998181851239065</v>
      </c>
      <c r="N19" s="22">
        <f t="shared" si="9"/>
        <v>55001</v>
      </c>
      <c r="O19" s="24">
        <f t="shared" si="9"/>
        <v>0.99998181851239065</v>
      </c>
      <c r="P19" s="22">
        <f t="shared" si="9"/>
        <v>55001</v>
      </c>
      <c r="Q19" s="24">
        <f t="shared" si="9"/>
        <v>0.99998181851239065</v>
      </c>
      <c r="R19" s="22">
        <f t="shared" si="9"/>
        <v>55001</v>
      </c>
      <c r="S19" s="24">
        <f t="shared" si="9"/>
        <v>0.99998181851239065</v>
      </c>
      <c r="T19" s="22">
        <f t="shared" si="9"/>
        <v>55001</v>
      </c>
      <c r="U19" s="24">
        <f t="shared" si="9"/>
        <v>0.99998181851239065</v>
      </c>
      <c r="V19" s="22">
        <f t="shared" si="9"/>
        <v>55001</v>
      </c>
      <c r="W19" s="24">
        <f t="shared" si="9"/>
        <v>0.99998181851239065</v>
      </c>
      <c r="X19" s="22">
        <f t="shared" si="9"/>
        <v>55000</v>
      </c>
      <c r="Y19" s="24">
        <f t="shared" si="9"/>
        <v>1.0000000000000002</v>
      </c>
    </row>
    <row r="20" spans="1:25" x14ac:dyDescent="0.2">
      <c r="A20" t="s">
        <v>71</v>
      </c>
      <c r="B20" s="11">
        <f>B19*0.453592/1000</f>
        <v>24.948013591999999</v>
      </c>
      <c r="C20" s="23"/>
      <c r="D20" s="11">
        <f>D19*0.453592/1000</f>
        <v>0</v>
      </c>
      <c r="F20" s="11">
        <f>F19*0.453592/1000</f>
        <v>0</v>
      </c>
      <c r="H20" s="11">
        <f>H19*0.453592/1000</f>
        <v>0</v>
      </c>
      <c r="J20" s="11">
        <f>J19*0.453592/1000</f>
        <v>24.948013591999999</v>
      </c>
      <c r="L20" s="11">
        <f>L19*0.453592/1000</f>
        <v>24.948013591999999</v>
      </c>
      <c r="N20" s="11">
        <f>N19*0.453592/1000</f>
        <v>24.948013591999999</v>
      </c>
      <c r="P20" s="11">
        <f>P19*0.453592/1000</f>
        <v>24.948013591999999</v>
      </c>
      <c r="R20" s="11">
        <f>R19*0.453592/1000</f>
        <v>24.948013591999999</v>
      </c>
      <c r="T20" s="11">
        <f>T19*0.453592/1000</f>
        <v>24.948013591999999</v>
      </c>
      <c r="V20" s="11">
        <f>V19*0.453592/1000</f>
        <v>24.948013591999999</v>
      </c>
      <c r="X20" s="11">
        <f>X19*0.453592/1000</f>
        <v>24.947560000000003</v>
      </c>
    </row>
    <row r="21" spans="1:25" x14ac:dyDescent="0.2">
      <c r="A21" s="25" t="s">
        <v>85</v>
      </c>
    </row>
    <row r="26" spans="1:25" x14ac:dyDescent="0.2">
      <c r="A26" s="2" t="s">
        <v>76</v>
      </c>
      <c r="B26" s="2" t="s">
        <v>38</v>
      </c>
      <c r="C26" s="2" t="s">
        <v>99</v>
      </c>
      <c r="D26" s="2" t="s">
        <v>69</v>
      </c>
      <c r="E26" s="2" t="s">
        <v>100</v>
      </c>
      <c r="F26" s="2" t="s">
        <v>39</v>
      </c>
      <c r="G26" s="2" t="s">
        <v>68</v>
      </c>
      <c r="H26" s="2" t="s">
        <v>63</v>
      </c>
      <c r="I26" s="2" t="s">
        <v>92</v>
      </c>
      <c r="J26" s="2" t="s">
        <v>103</v>
      </c>
      <c r="K26" s="2" t="s">
        <v>86</v>
      </c>
      <c r="L26" s="2" t="s">
        <v>18</v>
      </c>
      <c r="M26" s="2" t="s">
        <v>93</v>
      </c>
      <c r="N26" s="2" t="s">
        <v>16</v>
      </c>
    </row>
    <row r="27" spans="1:25" x14ac:dyDescent="0.2">
      <c r="A27" t="s">
        <v>82</v>
      </c>
      <c r="B27" s="23">
        <f t="shared" ref="B27:L27" si="10">INDEX($A$7:$C$18,MATCH(B$26,$A$7:$A$18,0),3)</f>
        <v>9.0907438046580968E-2</v>
      </c>
      <c r="C27" s="23">
        <f t="shared" si="10"/>
        <v>9.0907438046580968E-2</v>
      </c>
      <c r="D27" s="23">
        <f t="shared" si="10"/>
        <v>9.0907438046580968E-2</v>
      </c>
      <c r="E27" s="23">
        <f t="shared" si="10"/>
        <v>9.0907438046580968E-2</v>
      </c>
      <c r="F27" s="23">
        <f t="shared" si="10"/>
        <v>9.0907438046580968E-2</v>
      </c>
      <c r="G27" s="23">
        <f t="shared" si="10"/>
        <v>9.0907438046580968E-2</v>
      </c>
      <c r="H27" s="23">
        <f t="shared" si="10"/>
        <v>9.0907438046580968E-2</v>
      </c>
      <c r="I27" s="23">
        <f t="shared" si="10"/>
        <v>9.0907438046580968E-2</v>
      </c>
      <c r="J27" s="23">
        <f t="shared" si="10"/>
        <v>9.0907438046580968E-2</v>
      </c>
      <c r="K27" s="23">
        <f t="shared" si="10"/>
        <v>9.0907438046580968E-2</v>
      </c>
      <c r="L27" s="23">
        <f t="shared" si="10"/>
        <v>9.0907438046580968E-2</v>
      </c>
      <c r="M27" s="23">
        <f t="shared" ref="M27:M43" si="11">SUM(B27:L27)</f>
        <v>0.99998181851239065</v>
      </c>
      <c r="N27" t="s">
        <v>101</v>
      </c>
    </row>
    <row r="28" spans="1:25" x14ac:dyDescent="0.2">
      <c r="A28" t="s">
        <v>127</v>
      </c>
      <c r="B28" s="35"/>
      <c r="C28" s="35"/>
      <c r="D28" s="35"/>
      <c r="E28" s="35"/>
      <c r="F28" s="35"/>
      <c r="G28" s="35"/>
      <c r="H28" s="35"/>
      <c r="I28" s="35"/>
      <c r="J28" s="35"/>
      <c r="K28" s="35">
        <v>1</v>
      </c>
      <c r="L28" s="35"/>
      <c r="M28" s="23">
        <f t="shared" si="11"/>
        <v>1</v>
      </c>
      <c r="N28" t="s">
        <v>130</v>
      </c>
    </row>
    <row r="29" spans="1:25" x14ac:dyDescent="0.2">
      <c r="A29" t="s">
        <v>8</v>
      </c>
      <c r="B29" s="23">
        <f t="shared" ref="B29:I35" si="12">INDEX($J$7:$W$18,MATCH(B$26,$A$7:$A$18,0),MATCH($A29,$J$5:$W$5,0)+1)</f>
        <v>9.0907438046580968E-2</v>
      </c>
      <c r="C29" s="23">
        <f t="shared" si="12"/>
        <v>9.0907438046580968E-2</v>
      </c>
      <c r="D29" s="23">
        <f t="shared" si="12"/>
        <v>9.0907438046580968E-2</v>
      </c>
      <c r="E29" s="23">
        <f t="shared" si="12"/>
        <v>9.0907438046580968E-2</v>
      </c>
      <c r="F29" s="23">
        <f t="shared" si="12"/>
        <v>9.0907438046580968E-2</v>
      </c>
      <c r="G29" s="23">
        <f t="shared" si="12"/>
        <v>9.0907438046580968E-2</v>
      </c>
      <c r="H29" s="23">
        <f t="shared" si="12"/>
        <v>9.0907438046580968E-2</v>
      </c>
      <c r="I29" s="23">
        <f t="shared" si="12"/>
        <v>9.0907438046580968E-2</v>
      </c>
      <c r="J29" s="23"/>
      <c r="K29" s="23">
        <f t="shared" ref="K29:L35" si="13">INDEX($J$7:$W$18,MATCH(K$26,$A$7:$A$18,0),MATCH($A29,$J$5:$W$5,0)+1)</f>
        <v>9.0907438046580968E-2</v>
      </c>
      <c r="L29" s="23">
        <f t="shared" si="13"/>
        <v>9.0907438046580968E-2</v>
      </c>
      <c r="M29" s="23">
        <f t="shared" si="11"/>
        <v>0.90907438046580968</v>
      </c>
      <c r="N29" t="s">
        <v>79</v>
      </c>
    </row>
    <row r="30" spans="1:25" x14ac:dyDescent="0.2">
      <c r="A30" t="s">
        <v>19</v>
      </c>
      <c r="B30" s="23">
        <f t="shared" si="12"/>
        <v>9.0907438046580968E-2</v>
      </c>
      <c r="C30" s="23">
        <f t="shared" si="12"/>
        <v>9.0907438046580968E-2</v>
      </c>
      <c r="D30" s="23">
        <f t="shared" si="12"/>
        <v>9.0907438046580968E-2</v>
      </c>
      <c r="E30" s="23">
        <f t="shared" si="12"/>
        <v>9.0907438046580968E-2</v>
      </c>
      <c r="F30" s="23">
        <f t="shared" si="12"/>
        <v>9.0907438046580968E-2</v>
      </c>
      <c r="G30" s="23">
        <f t="shared" si="12"/>
        <v>9.0907438046580968E-2</v>
      </c>
      <c r="H30" s="23">
        <f t="shared" si="12"/>
        <v>9.0907438046580968E-2</v>
      </c>
      <c r="I30" s="23">
        <f t="shared" si="12"/>
        <v>9.0907438046580968E-2</v>
      </c>
      <c r="J30" s="23"/>
      <c r="K30" s="23">
        <f t="shared" si="13"/>
        <v>9.0907438046580968E-2</v>
      </c>
      <c r="L30" s="23">
        <f t="shared" si="13"/>
        <v>9.0907438046580968E-2</v>
      </c>
      <c r="M30" s="23">
        <f t="shared" si="11"/>
        <v>0.90907438046580968</v>
      </c>
      <c r="N30" t="s">
        <v>79</v>
      </c>
    </row>
    <row r="31" spans="1:25" x14ac:dyDescent="0.2">
      <c r="A31" t="s">
        <v>1</v>
      </c>
      <c r="B31" s="23">
        <f t="shared" si="12"/>
        <v>9.0907438046580968E-2</v>
      </c>
      <c r="C31" s="23">
        <f t="shared" si="12"/>
        <v>9.0907438046580968E-2</v>
      </c>
      <c r="D31" s="23">
        <f t="shared" si="12"/>
        <v>9.0907438046580968E-2</v>
      </c>
      <c r="E31" s="23">
        <f t="shared" si="12"/>
        <v>9.0907438046580968E-2</v>
      </c>
      <c r="F31" s="23">
        <f t="shared" si="12"/>
        <v>9.0907438046580968E-2</v>
      </c>
      <c r="G31" s="23">
        <f t="shared" si="12"/>
        <v>9.0907438046580968E-2</v>
      </c>
      <c r="H31" s="23">
        <f t="shared" si="12"/>
        <v>9.0907438046580968E-2</v>
      </c>
      <c r="I31" s="23">
        <f t="shared" si="12"/>
        <v>9.0907438046580968E-2</v>
      </c>
      <c r="J31" s="23"/>
      <c r="K31" s="23">
        <f t="shared" si="13"/>
        <v>9.0907438046580968E-2</v>
      </c>
      <c r="L31" s="23">
        <f t="shared" si="13"/>
        <v>9.0907438046580968E-2</v>
      </c>
      <c r="M31" s="23">
        <f t="shared" si="11"/>
        <v>0.90907438046580968</v>
      </c>
      <c r="N31" t="s">
        <v>79</v>
      </c>
    </row>
    <row r="32" spans="1:25" x14ac:dyDescent="0.2">
      <c r="A32" t="s">
        <v>10</v>
      </c>
      <c r="B32" s="23">
        <f t="shared" si="12"/>
        <v>9.0907438046580968E-2</v>
      </c>
      <c r="C32" s="23">
        <f t="shared" si="12"/>
        <v>9.0907438046580968E-2</v>
      </c>
      <c r="D32" s="23">
        <f t="shared" si="12"/>
        <v>9.0907438046580968E-2</v>
      </c>
      <c r="E32" s="23">
        <f t="shared" si="12"/>
        <v>9.0907438046580968E-2</v>
      </c>
      <c r="F32" s="23">
        <f t="shared" si="12"/>
        <v>9.0907438046580968E-2</v>
      </c>
      <c r="G32" s="23">
        <f t="shared" si="12"/>
        <v>9.0907438046580968E-2</v>
      </c>
      <c r="H32" s="23">
        <f t="shared" si="12"/>
        <v>9.0907438046580968E-2</v>
      </c>
      <c r="I32" s="23">
        <f t="shared" si="12"/>
        <v>9.0907438046580968E-2</v>
      </c>
      <c r="J32" s="23"/>
      <c r="K32" s="23">
        <f t="shared" si="13"/>
        <v>9.0907438046580968E-2</v>
      </c>
      <c r="L32" s="23">
        <f t="shared" si="13"/>
        <v>9.0907438046580968E-2</v>
      </c>
      <c r="M32" s="23">
        <f t="shared" si="11"/>
        <v>0.90907438046580968</v>
      </c>
      <c r="N32" t="s">
        <v>79</v>
      </c>
    </row>
    <row r="33" spans="1:14" x14ac:dyDescent="0.2">
      <c r="A33" t="s">
        <v>11</v>
      </c>
      <c r="B33" s="23">
        <f t="shared" si="12"/>
        <v>9.0907438046580968E-2</v>
      </c>
      <c r="C33" s="23">
        <f t="shared" si="12"/>
        <v>9.0907438046580968E-2</v>
      </c>
      <c r="D33" s="23">
        <f t="shared" si="12"/>
        <v>9.0907438046580968E-2</v>
      </c>
      <c r="E33" s="23">
        <f t="shared" si="12"/>
        <v>9.0907438046580968E-2</v>
      </c>
      <c r="F33" s="23">
        <f t="shared" si="12"/>
        <v>9.0907438046580968E-2</v>
      </c>
      <c r="G33" s="23">
        <f t="shared" si="12"/>
        <v>9.0907438046580968E-2</v>
      </c>
      <c r="H33" s="23">
        <f t="shared" si="12"/>
        <v>9.0907438046580968E-2</v>
      </c>
      <c r="I33" s="23">
        <f t="shared" si="12"/>
        <v>9.0907438046580968E-2</v>
      </c>
      <c r="J33" s="23"/>
      <c r="K33" s="23">
        <f t="shared" si="13"/>
        <v>9.0907438046580968E-2</v>
      </c>
      <c r="L33" s="23">
        <f t="shared" si="13"/>
        <v>9.0907438046580968E-2</v>
      </c>
      <c r="M33" s="23">
        <f t="shared" si="11"/>
        <v>0.90907438046580968</v>
      </c>
      <c r="N33" t="s">
        <v>79</v>
      </c>
    </row>
    <row r="34" spans="1:14" x14ac:dyDescent="0.2">
      <c r="A34" t="s">
        <v>25</v>
      </c>
      <c r="B34" s="23">
        <f t="shared" si="12"/>
        <v>9.0907438046580968E-2</v>
      </c>
      <c r="C34" s="23">
        <f t="shared" si="12"/>
        <v>9.0907438046580968E-2</v>
      </c>
      <c r="D34" s="23">
        <f t="shared" si="12"/>
        <v>9.0907438046580968E-2</v>
      </c>
      <c r="E34" s="23">
        <f t="shared" si="12"/>
        <v>9.0907438046580968E-2</v>
      </c>
      <c r="F34" s="23">
        <f t="shared" si="12"/>
        <v>9.0907438046580968E-2</v>
      </c>
      <c r="G34" s="23">
        <f t="shared" si="12"/>
        <v>9.0907438046580968E-2</v>
      </c>
      <c r="H34" s="23">
        <f t="shared" si="12"/>
        <v>9.0907438046580968E-2</v>
      </c>
      <c r="I34" s="23">
        <f t="shared" si="12"/>
        <v>9.0907438046580968E-2</v>
      </c>
      <c r="J34" s="23"/>
      <c r="K34" s="23">
        <f t="shared" si="13"/>
        <v>9.0907438046580968E-2</v>
      </c>
      <c r="L34" s="23">
        <f t="shared" si="13"/>
        <v>9.0907438046580968E-2</v>
      </c>
      <c r="M34" s="23">
        <f t="shared" si="11"/>
        <v>0.90907438046580968</v>
      </c>
      <c r="N34" t="s">
        <v>79</v>
      </c>
    </row>
    <row r="35" spans="1:14" x14ac:dyDescent="0.2">
      <c r="A35" t="s">
        <v>7</v>
      </c>
      <c r="B35" s="23">
        <f t="shared" si="12"/>
        <v>9.0907438046580968E-2</v>
      </c>
      <c r="C35" s="23">
        <f t="shared" si="12"/>
        <v>9.0907438046580968E-2</v>
      </c>
      <c r="D35" s="23">
        <f t="shared" si="12"/>
        <v>9.0907438046580968E-2</v>
      </c>
      <c r="E35" s="23">
        <f t="shared" si="12"/>
        <v>9.0907438046580968E-2</v>
      </c>
      <c r="F35" s="23">
        <f t="shared" si="12"/>
        <v>9.0907438046580968E-2</v>
      </c>
      <c r="G35" s="23">
        <f t="shared" si="12"/>
        <v>9.0907438046580968E-2</v>
      </c>
      <c r="H35" s="23">
        <f t="shared" si="12"/>
        <v>9.0907438046580968E-2</v>
      </c>
      <c r="I35" s="23">
        <f t="shared" si="12"/>
        <v>9.0907438046580968E-2</v>
      </c>
      <c r="J35" s="23"/>
      <c r="K35" s="23">
        <f t="shared" si="13"/>
        <v>9.0907438046580968E-2</v>
      </c>
      <c r="L35" s="23">
        <f t="shared" si="13"/>
        <v>9.0907438046580968E-2</v>
      </c>
      <c r="M35" s="23">
        <f t="shared" si="11"/>
        <v>0.90907438046580968</v>
      </c>
      <c r="N35" t="s">
        <v>79</v>
      </c>
    </row>
    <row r="36" spans="1:14" x14ac:dyDescent="0.2">
      <c r="A36" t="s">
        <v>2</v>
      </c>
      <c r="B36" s="23"/>
      <c r="C36" s="23"/>
      <c r="D36" s="23"/>
      <c r="E36" s="23"/>
      <c r="F36" s="23">
        <f>(26.3+26.1+18.6+9.1)/100</f>
        <v>0.80099999999999993</v>
      </c>
      <c r="G36" s="23"/>
      <c r="H36" s="23"/>
      <c r="I36" s="23"/>
      <c r="J36" s="23"/>
      <c r="K36" s="23">
        <f>(13.8+6.1)/100</f>
        <v>0.19899999999999998</v>
      </c>
      <c r="L36" s="23"/>
      <c r="M36" s="23">
        <f t="shared" si="11"/>
        <v>0.99999999999999989</v>
      </c>
      <c r="N36" t="s">
        <v>102</v>
      </c>
    </row>
    <row r="37" spans="1:14" x14ac:dyDescent="0.2">
      <c r="A37" t="s">
        <v>31</v>
      </c>
      <c r="B37" s="23">
        <v>0.05</v>
      </c>
      <c r="C37" s="23"/>
      <c r="D37" s="23">
        <v>0.16500000000000001</v>
      </c>
      <c r="E37" s="23"/>
      <c r="F37" s="23"/>
      <c r="G37" s="23">
        <v>0.55000000000000004</v>
      </c>
      <c r="H37" s="23">
        <v>0.16500000000000001</v>
      </c>
      <c r="I37" s="23"/>
      <c r="J37" s="23"/>
      <c r="K37" s="23">
        <f>1-SUM(B37:J37)</f>
        <v>6.999999999999984E-2</v>
      </c>
      <c r="L37" s="23"/>
      <c r="M37" s="23">
        <f>SUM(B37:L37)</f>
        <v>1</v>
      </c>
      <c r="N37" t="s">
        <v>104</v>
      </c>
    </row>
    <row r="38" spans="1:14" x14ac:dyDescent="0.2">
      <c r="A38" t="s">
        <v>30</v>
      </c>
      <c r="B38" s="23"/>
      <c r="C38" s="23">
        <v>0.2</v>
      </c>
      <c r="D38" s="23"/>
      <c r="E38" s="23">
        <v>0.1</v>
      </c>
      <c r="F38" s="23"/>
      <c r="G38" s="23"/>
      <c r="H38" s="23"/>
      <c r="I38" s="23"/>
      <c r="J38" s="23">
        <v>0.65</v>
      </c>
      <c r="K38" s="23"/>
      <c r="L38" s="23">
        <v>0.05</v>
      </c>
      <c r="M38" s="23">
        <f t="shared" si="11"/>
        <v>1</v>
      </c>
      <c r="N38" t="s">
        <v>924</v>
      </c>
    </row>
    <row r="39" spans="1:14" x14ac:dyDescent="0.2">
      <c r="A39" t="s">
        <v>122</v>
      </c>
      <c r="B39" s="23"/>
      <c r="C39" s="23"/>
      <c r="D39" s="23"/>
      <c r="E39" s="23"/>
      <c r="F39" s="23"/>
      <c r="G39" s="23"/>
      <c r="H39" s="23"/>
      <c r="I39" s="23"/>
      <c r="J39" s="23"/>
      <c r="K39" s="23">
        <f>1</f>
        <v>1</v>
      </c>
      <c r="L39" s="23"/>
      <c r="M39" s="23">
        <f t="shared" si="11"/>
        <v>1</v>
      </c>
      <c r="N39" t="s">
        <v>123</v>
      </c>
    </row>
    <row r="40" spans="1:14" x14ac:dyDescent="0.2">
      <c r="A40" t="s">
        <v>32</v>
      </c>
      <c r="B40" s="23">
        <v>0.2</v>
      </c>
      <c r="C40" s="23"/>
      <c r="D40" s="23">
        <v>0.2</v>
      </c>
      <c r="E40" s="23"/>
      <c r="F40" s="23">
        <v>0.05</v>
      </c>
      <c r="G40" s="23">
        <v>0.25</v>
      </c>
      <c r="H40" s="23">
        <v>0.05</v>
      </c>
      <c r="I40" s="23"/>
      <c r="J40" s="23"/>
      <c r="K40" s="23">
        <f>1-SUM(B40:J40)</f>
        <v>0.25</v>
      </c>
      <c r="L40" s="23"/>
      <c r="M40" s="23">
        <f t="shared" si="11"/>
        <v>1</v>
      </c>
      <c r="N40" t="s">
        <v>107</v>
      </c>
    </row>
    <row r="41" spans="1:14" x14ac:dyDescent="0.2">
      <c r="A41" t="s">
        <v>105</v>
      </c>
      <c r="B41" s="23"/>
      <c r="C41" s="23"/>
      <c r="D41" s="23">
        <v>0.80600000000000005</v>
      </c>
      <c r="E41" s="23"/>
      <c r="F41" s="23"/>
      <c r="G41" s="23"/>
      <c r="H41" s="23"/>
      <c r="I41" s="23">
        <v>7.0000000000000007E-2</v>
      </c>
      <c r="J41" s="23">
        <v>0.12</v>
      </c>
      <c r="K41" s="23">
        <f>1-SUM(B41:J41)</f>
        <v>3.9999999999998925E-3</v>
      </c>
      <c r="L41" s="23"/>
      <c r="M41" s="23">
        <f t="shared" si="11"/>
        <v>1</v>
      </c>
      <c r="N41" t="s">
        <v>106</v>
      </c>
    </row>
    <row r="42" spans="1:14" x14ac:dyDescent="0.2">
      <c r="A42" t="s">
        <v>576</v>
      </c>
      <c r="B42" s="23"/>
      <c r="C42" s="23"/>
      <c r="D42" s="23"/>
      <c r="E42" s="23"/>
      <c r="F42" s="23"/>
      <c r="G42" s="23"/>
      <c r="H42" s="23"/>
      <c r="I42" s="23"/>
      <c r="J42" s="23"/>
      <c r="K42" s="23">
        <v>1</v>
      </c>
      <c r="L42" s="23"/>
      <c r="M42" s="23">
        <f t="shared" si="11"/>
        <v>1</v>
      </c>
    </row>
    <row r="43" spans="1:14" x14ac:dyDescent="0.2">
      <c r="A43" t="s">
        <v>575</v>
      </c>
      <c r="B43" s="23"/>
      <c r="C43" s="23"/>
      <c r="D43" s="23"/>
      <c r="E43" s="23"/>
      <c r="F43" s="23"/>
      <c r="G43" s="23"/>
      <c r="H43" s="23"/>
      <c r="I43" s="23"/>
      <c r="J43" s="23"/>
      <c r="K43" s="23">
        <v>1</v>
      </c>
      <c r="L43" s="23"/>
      <c r="M43" s="23">
        <f t="shared" si="11"/>
        <v>1</v>
      </c>
    </row>
    <row r="44" spans="1:14" x14ac:dyDescent="0.2">
      <c r="B44" s="23"/>
      <c r="C44" s="23"/>
      <c r="D44" s="23"/>
      <c r="E44" s="23"/>
      <c r="F44" s="23"/>
      <c r="G44" s="23"/>
      <c r="H44" s="23"/>
      <c r="I44" s="23"/>
      <c r="J44" s="23"/>
      <c r="K44" s="23"/>
      <c r="L44" s="23"/>
      <c r="M44" s="23"/>
    </row>
    <row r="45" spans="1:14" ht="19" x14ac:dyDescent="0.25">
      <c r="A45" s="12" t="s">
        <v>894</v>
      </c>
      <c r="B45" s="23"/>
      <c r="C45" s="23"/>
      <c r="D45" s="23"/>
      <c r="E45" s="23"/>
      <c r="F45" s="23"/>
      <c r="G45" s="23"/>
      <c r="H45" s="23"/>
      <c r="I45" s="23"/>
      <c r="J45" s="23"/>
      <c r="K45" s="23"/>
      <c r="L45" s="23"/>
      <c r="M45" s="23"/>
    </row>
    <row r="46" spans="1:14" x14ac:dyDescent="0.2">
      <c r="B46" s="23"/>
      <c r="C46" s="23"/>
      <c r="D46" s="23"/>
      <c r="E46" s="23"/>
      <c r="F46" s="23"/>
      <c r="G46" s="23"/>
      <c r="H46" s="23"/>
      <c r="I46" s="23"/>
      <c r="J46" s="23"/>
      <c r="K46" s="23"/>
      <c r="L46" s="23"/>
      <c r="M46" s="23"/>
    </row>
    <row r="47" spans="1:14" x14ac:dyDescent="0.2">
      <c r="A47" s="2" t="str">
        <f t="shared" ref="A47:M47" si="14">A26</f>
        <v>Resin Type</v>
      </c>
      <c r="B47" s="2" t="str">
        <f t="shared" si="14"/>
        <v>Building and Construction</v>
      </c>
      <c r="C47" s="2" t="str">
        <f t="shared" si="14"/>
        <v>Furniture and Furnishings</v>
      </c>
      <c r="D47" s="2" t="str">
        <f t="shared" si="14"/>
        <v>Transportation</v>
      </c>
      <c r="E47" s="2" t="str">
        <f t="shared" si="14"/>
        <v>Industrial/Machinery</v>
      </c>
      <c r="F47" s="2" t="str">
        <f t="shared" si="14"/>
        <v>Packaging</v>
      </c>
      <c r="G47" s="2" t="str">
        <f t="shared" si="14"/>
        <v>Electrical/Electronic</v>
      </c>
      <c r="H47" s="2" t="str">
        <f t="shared" si="14"/>
        <v>Consumer and Institutional</v>
      </c>
      <c r="I47" s="2" t="str">
        <f t="shared" si="14"/>
        <v>Adhesives/Inks/Coatings</v>
      </c>
      <c r="J47" s="2" t="str">
        <f t="shared" si="14"/>
        <v>Textiles, Fibers and Apparel</v>
      </c>
      <c r="K47" s="2" t="str">
        <f t="shared" si="14"/>
        <v>Other End Use Markets</v>
      </c>
      <c r="L47" s="2" t="str">
        <f t="shared" si="14"/>
        <v>Exports</v>
      </c>
      <c r="M47" s="2" t="str">
        <f t="shared" si="14"/>
        <v>TOTAL</v>
      </c>
      <c r="N47" s="2" t="s">
        <v>84</v>
      </c>
    </row>
    <row r="48" spans="1:14" x14ac:dyDescent="0.2">
      <c r="A48" t="str">
        <f t="shared" ref="A48:A64" si="15">A27</f>
        <v>Polyurethane</v>
      </c>
      <c r="B48" s="144">
        <f>B27*INDEX(PlasticsDataCompilation!$B$20:$E$36,MATCH(PlasticsUse!$A48,PlasticsDataCompilation!$A$20:$A$36,0),1)*lb_to_kg*10^-3</f>
        <v>2.26796</v>
      </c>
      <c r="C48" s="144">
        <f>C27*INDEX(PlasticsDataCompilation!$B$20:$E$36,MATCH(PlasticsUse!$A48,PlasticsDataCompilation!$A$20:$A$36,0),1)*lb_to_kg*10^-3</f>
        <v>2.26796</v>
      </c>
      <c r="D48" s="144">
        <f>D27*INDEX(PlasticsDataCompilation!$B$20:$E$36,MATCH(PlasticsUse!$A48,PlasticsDataCompilation!$A$20:$A$36,0),1)*lb_to_kg*10^-3</f>
        <v>2.26796</v>
      </c>
      <c r="E48" s="144">
        <f>E27*INDEX(PlasticsDataCompilation!$B$20:$E$36,MATCH(PlasticsUse!$A48,PlasticsDataCompilation!$A$20:$A$36,0),1)*lb_to_kg*10^-3</f>
        <v>2.26796</v>
      </c>
      <c r="F48" s="144">
        <f>F27*INDEX(PlasticsDataCompilation!$B$20:$E$36,MATCH(PlasticsUse!$A48,PlasticsDataCompilation!$A$20:$A$36,0),1)*lb_to_kg*10^-3</f>
        <v>2.26796</v>
      </c>
      <c r="G48" s="144">
        <f>G27*INDEX(PlasticsDataCompilation!$B$20:$E$36,MATCH(PlasticsUse!$A48,PlasticsDataCompilation!$A$20:$A$36,0),1)*lb_to_kg*10^-3</f>
        <v>2.26796</v>
      </c>
      <c r="H48" s="144">
        <f>H27*INDEX(PlasticsDataCompilation!$B$20:$E$36,MATCH(PlasticsUse!$A48,PlasticsDataCompilation!$A$20:$A$36,0),1)*lb_to_kg*10^-3</f>
        <v>2.26796</v>
      </c>
      <c r="I48" s="144">
        <f>I27*INDEX(PlasticsDataCompilation!$B$20:$E$36,MATCH(PlasticsUse!$A48,PlasticsDataCompilation!$A$20:$A$36,0),1)*lb_to_kg*10^-3</f>
        <v>2.26796</v>
      </c>
      <c r="J48" s="144">
        <f>J27*INDEX(PlasticsDataCompilation!$B$20:$E$36,MATCH(PlasticsUse!$A48,PlasticsDataCompilation!$A$20:$A$36,0),1)*lb_to_kg*10^-3</f>
        <v>2.26796</v>
      </c>
      <c r="K48" s="144">
        <f>K27*INDEX(PlasticsDataCompilation!$B$20:$E$36,MATCH(PlasticsUse!$A48,PlasticsDataCompilation!$A$20:$A$36,0),1)*lb_to_kg*10^-3</f>
        <v>2.26796</v>
      </c>
      <c r="L48" s="144">
        <f>L27*INDEX(PlasticsDataCompilation!$B$20:$E$36,MATCH(PlasticsUse!$A48,PlasticsDataCompilation!$A$20:$A$36,0),1)*lb_to_kg*10^-3</f>
        <v>2.26796</v>
      </c>
      <c r="M48" s="30">
        <f t="shared" ref="M48:M64" si="16">SUM(B48:L48)</f>
        <v>24.947559999999996</v>
      </c>
      <c r="N48" s="23">
        <f t="shared" ref="N48:N64" si="17">M48/$M$111</f>
        <v>0.38979501667090516</v>
      </c>
    </row>
    <row r="49" spans="1:14" x14ac:dyDescent="0.2">
      <c r="A49" t="str">
        <f t="shared" si="15"/>
        <v>Other thermosets</v>
      </c>
      <c r="B49" s="144">
        <f>B28*INDEX(PlasticsDataCompilation!$B$20:$E$36,MATCH(PlasticsUse!$A49,PlasticsDataCompilation!$A$20:$A$36,0),1)*lb_to_kg*10^-3</f>
        <v>0</v>
      </c>
      <c r="C49" s="144">
        <f>C28*INDEX(PlasticsDataCompilation!$B$20:$E$36,MATCH(PlasticsUse!$A49,PlasticsDataCompilation!$A$20:$A$36,0),1)*lb_to_kg*10^-3</f>
        <v>0</v>
      </c>
      <c r="D49" s="144">
        <f>D28*INDEX(PlasticsDataCompilation!$B$20:$E$36,MATCH(PlasticsUse!$A49,PlasticsDataCompilation!$A$20:$A$36,0),1)*lb_to_kg*10^-3</f>
        <v>0</v>
      </c>
      <c r="E49" s="144">
        <f>E28*INDEX(PlasticsDataCompilation!$B$20:$E$36,MATCH(PlasticsUse!$A49,PlasticsDataCompilation!$A$20:$A$36,0),1)*lb_to_kg*10^-3</f>
        <v>0</v>
      </c>
      <c r="F49" s="144">
        <f>F28*INDEX(PlasticsDataCompilation!$B$20:$E$36,MATCH(PlasticsUse!$A49,PlasticsDataCompilation!$A$20:$A$36,0),1)*lb_to_kg*10^-3</f>
        <v>0</v>
      </c>
      <c r="G49" s="144">
        <f>G28*INDEX(PlasticsDataCompilation!$B$20:$E$36,MATCH(PlasticsUse!$A49,PlasticsDataCompilation!$A$20:$A$36,0),1)*lb_to_kg*10^-3</f>
        <v>0</v>
      </c>
      <c r="H49" s="144">
        <f>H28*INDEX(PlasticsDataCompilation!$B$20:$E$36,MATCH(PlasticsUse!$A49,PlasticsDataCompilation!$A$20:$A$36,0),1)*lb_to_kg*10^-3</f>
        <v>0</v>
      </c>
      <c r="I49" s="144">
        <f>I28*INDEX(PlasticsDataCompilation!$B$20:$E$36,MATCH(PlasticsUse!$A49,PlasticsDataCompilation!$A$20:$A$36,0),1)*lb_to_kg*10^-3</f>
        <v>0</v>
      </c>
      <c r="J49" s="144">
        <f>J28*INDEX(PlasticsDataCompilation!$B$20:$E$36,MATCH(PlasticsUse!$A49,PlasticsDataCompilation!$A$20:$A$36,0),1)*lb_to_kg*10^-3</f>
        <v>0</v>
      </c>
      <c r="K49" s="144">
        <f>K28*INDEX(PlasticsDataCompilation!$B$20:$E$36,MATCH(PlasticsUse!$A49,PlasticsDataCompilation!$A$20:$A$36,0),1)*lb_to_kg*10^-3</f>
        <v>2.26796</v>
      </c>
      <c r="L49" s="144">
        <f>L28*INDEX(PlasticsDataCompilation!$B$20:$E$36,MATCH(PlasticsUse!$A49,PlasticsDataCompilation!$A$20:$A$36,0),1)*lb_to_kg*10^-3</f>
        <v>0</v>
      </c>
      <c r="M49" s="30">
        <f t="shared" si="16"/>
        <v>2.26796</v>
      </c>
      <c r="N49" s="23">
        <f t="shared" si="17"/>
        <v>3.5435910606445929E-2</v>
      </c>
    </row>
    <row r="50" spans="1:14" x14ac:dyDescent="0.2">
      <c r="A50" t="str">
        <f t="shared" si="15"/>
        <v>LDPE</v>
      </c>
      <c r="B50" s="144">
        <f>B29*INDEX(PlasticsDataCompilation!$B$20:$E$36,MATCH(PlasticsUse!$A50,PlasticsDataCompilation!$A$20:$A$36,0),1)*lb_to_kg*10^-3</f>
        <v>0.20617443319212375</v>
      </c>
      <c r="C50" s="144">
        <f>C29*INDEX(PlasticsDataCompilation!$B$20:$E$36,MATCH(PlasticsUse!$A50,PlasticsDataCompilation!$A$20:$A$36,0),1)*lb_to_kg*10^-3</f>
        <v>0.20617443319212375</v>
      </c>
      <c r="D50" s="144">
        <f>D29*INDEX(PlasticsDataCompilation!$B$20:$E$36,MATCH(PlasticsUse!$A50,PlasticsDataCompilation!$A$20:$A$36,0),1)*lb_to_kg*10^-3</f>
        <v>0.20617443319212375</v>
      </c>
      <c r="E50" s="144">
        <f>E29*INDEX(PlasticsDataCompilation!$B$20:$E$36,MATCH(PlasticsUse!$A50,PlasticsDataCompilation!$A$20:$A$36,0),1)*lb_to_kg*10^-3</f>
        <v>0.20617443319212375</v>
      </c>
      <c r="F50" s="144">
        <f>F29*INDEX(PlasticsDataCompilation!$B$20:$E$36,MATCH(PlasticsUse!$A50,PlasticsDataCompilation!$A$20:$A$36,0),1)*lb_to_kg*10^-3</f>
        <v>0.20617443319212375</v>
      </c>
      <c r="G50" s="144">
        <f>G29*INDEX(PlasticsDataCompilation!$B$20:$E$36,MATCH(PlasticsUse!$A50,PlasticsDataCompilation!$A$20:$A$36,0),1)*lb_to_kg*10^-3</f>
        <v>0.20617443319212375</v>
      </c>
      <c r="H50" s="144">
        <f>H29*INDEX(PlasticsDataCompilation!$B$20:$E$36,MATCH(PlasticsUse!$A50,PlasticsDataCompilation!$A$20:$A$36,0),1)*lb_to_kg*10^-3</f>
        <v>0.20617443319212375</v>
      </c>
      <c r="I50" s="144">
        <f>I29*INDEX(PlasticsDataCompilation!$B$20:$E$36,MATCH(PlasticsUse!$A50,PlasticsDataCompilation!$A$20:$A$36,0),1)*lb_to_kg*10^-3</f>
        <v>0.20617443319212375</v>
      </c>
      <c r="J50" s="144">
        <f>J29*INDEX(PlasticsDataCompilation!$B$20:$E$36,MATCH(PlasticsUse!$A50,PlasticsDataCompilation!$A$20:$A$36,0),1)*lb_to_kg*10^-3</f>
        <v>0</v>
      </c>
      <c r="K50" s="144">
        <f>K29*INDEX(PlasticsDataCompilation!$B$20:$E$36,MATCH(PlasticsUse!$A50,PlasticsDataCompilation!$A$20:$A$36,0),1)*lb_to_kg*10^-3</f>
        <v>0.20617443319212375</v>
      </c>
      <c r="L50" s="144">
        <f>L29*INDEX(PlasticsDataCompilation!$B$20:$E$36,MATCH(PlasticsUse!$A50,PlasticsDataCompilation!$A$20:$A$36,0),1)*lb_to_kg*10^-3</f>
        <v>0.20617443319212375</v>
      </c>
      <c r="M50" s="30">
        <f t="shared" si="16"/>
        <v>2.0617443319212376</v>
      </c>
      <c r="N50" s="23">
        <f t="shared" si="17"/>
        <v>3.2213878480796647E-2</v>
      </c>
    </row>
    <row r="51" spans="1:14" x14ac:dyDescent="0.2">
      <c r="A51" t="str">
        <f t="shared" si="15"/>
        <v>LLDPE</v>
      </c>
      <c r="B51" s="144">
        <f>B30*INDEX(PlasticsDataCompilation!$B$20:$E$36,MATCH(PlasticsUse!$A51,PlasticsDataCompilation!$A$20:$A$36,0),1)*lb_to_kg*10^-3</f>
        <v>0.20617443319212375</v>
      </c>
      <c r="C51" s="144">
        <f>C30*INDEX(PlasticsDataCompilation!$B$20:$E$36,MATCH(PlasticsUse!$A51,PlasticsDataCompilation!$A$20:$A$36,0),1)*lb_to_kg*10^-3</f>
        <v>0.20617443319212375</v>
      </c>
      <c r="D51" s="144">
        <f>D30*INDEX(PlasticsDataCompilation!$B$20:$E$36,MATCH(PlasticsUse!$A51,PlasticsDataCompilation!$A$20:$A$36,0),1)*lb_to_kg*10^-3</f>
        <v>0.20617443319212375</v>
      </c>
      <c r="E51" s="144">
        <f>E30*INDEX(PlasticsDataCompilation!$B$20:$E$36,MATCH(PlasticsUse!$A51,PlasticsDataCompilation!$A$20:$A$36,0),1)*lb_to_kg*10^-3</f>
        <v>0.20617443319212375</v>
      </c>
      <c r="F51" s="144">
        <f>F30*INDEX(PlasticsDataCompilation!$B$20:$E$36,MATCH(PlasticsUse!$A51,PlasticsDataCompilation!$A$20:$A$36,0),1)*lb_to_kg*10^-3</f>
        <v>0.20617443319212375</v>
      </c>
      <c r="G51" s="144">
        <f>G30*INDEX(PlasticsDataCompilation!$B$20:$E$36,MATCH(PlasticsUse!$A51,PlasticsDataCompilation!$A$20:$A$36,0),1)*lb_to_kg*10^-3</f>
        <v>0.20617443319212375</v>
      </c>
      <c r="H51" s="144">
        <f>H30*INDEX(PlasticsDataCompilation!$B$20:$E$36,MATCH(PlasticsUse!$A51,PlasticsDataCompilation!$A$20:$A$36,0),1)*lb_to_kg*10^-3</f>
        <v>0.20617443319212375</v>
      </c>
      <c r="I51" s="144">
        <f>I30*INDEX(PlasticsDataCompilation!$B$20:$E$36,MATCH(PlasticsUse!$A51,PlasticsDataCompilation!$A$20:$A$36,0),1)*lb_to_kg*10^-3</f>
        <v>0.20617443319212375</v>
      </c>
      <c r="J51" s="144">
        <f>J30*INDEX(PlasticsDataCompilation!$B$20:$E$36,MATCH(PlasticsUse!$A51,PlasticsDataCompilation!$A$20:$A$36,0),1)*lb_to_kg*10^-3</f>
        <v>0</v>
      </c>
      <c r="K51" s="144">
        <f>K30*INDEX(PlasticsDataCompilation!$B$20:$E$36,MATCH(PlasticsUse!$A51,PlasticsDataCompilation!$A$20:$A$36,0),1)*lb_to_kg*10^-3</f>
        <v>0.20617443319212375</v>
      </c>
      <c r="L51" s="144">
        <f>L30*INDEX(PlasticsDataCompilation!$B$20:$E$36,MATCH(PlasticsUse!$A51,PlasticsDataCompilation!$A$20:$A$36,0),1)*lb_to_kg*10^-3</f>
        <v>0.20617443319212375</v>
      </c>
      <c r="M51" s="30">
        <f t="shared" si="16"/>
        <v>2.0617443319212376</v>
      </c>
      <c r="N51" s="23">
        <f t="shared" si="17"/>
        <v>3.2213878480796647E-2</v>
      </c>
    </row>
    <row r="52" spans="1:14" x14ac:dyDescent="0.2">
      <c r="A52" t="str">
        <f t="shared" si="15"/>
        <v>HDPE</v>
      </c>
      <c r="B52" s="144">
        <f>B31*INDEX(PlasticsDataCompilation!$B$20:$E$36,MATCH(PlasticsUse!$A52,PlasticsDataCompilation!$A$20:$A$36,0),1)*lb_to_kg*10^-3</f>
        <v>0.20617443319212375</v>
      </c>
      <c r="C52" s="144">
        <f>C31*INDEX(PlasticsDataCompilation!$B$20:$E$36,MATCH(PlasticsUse!$A52,PlasticsDataCompilation!$A$20:$A$36,0),1)*lb_to_kg*10^-3</f>
        <v>0.20617443319212375</v>
      </c>
      <c r="D52" s="144">
        <f>D31*INDEX(PlasticsDataCompilation!$B$20:$E$36,MATCH(PlasticsUse!$A52,PlasticsDataCompilation!$A$20:$A$36,0),1)*lb_to_kg*10^-3</f>
        <v>0.20617443319212375</v>
      </c>
      <c r="E52" s="144">
        <f>E31*INDEX(PlasticsDataCompilation!$B$20:$E$36,MATCH(PlasticsUse!$A52,PlasticsDataCompilation!$A$20:$A$36,0),1)*lb_to_kg*10^-3</f>
        <v>0.20617443319212375</v>
      </c>
      <c r="F52" s="144">
        <f>F31*INDEX(PlasticsDataCompilation!$B$20:$E$36,MATCH(PlasticsUse!$A52,PlasticsDataCompilation!$A$20:$A$36,0),1)*lb_to_kg*10^-3</f>
        <v>0.20617443319212375</v>
      </c>
      <c r="G52" s="144">
        <f>G31*INDEX(PlasticsDataCompilation!$B$20:$E$36,MATCH(PlasticsUse!$A52,PlasticsDataCompilation!$A$20:$A$36,0),1)*lb_to_kg*10^-3</f>
        <v>0.20617443319212375</v>
      </c>
      <c r="H52" s="144">
        <f>H31*INDEX(PlasticsDataCompilation!$B$20:$E$36,MATCH(PlasticsUse!$A52,PlasticsDataCompilation!$A$20:$A$36,0),1)*lb_to_kg*10^-3</f>
        <v>0.20617443319212375</v>
      </c>
      <c r="I52" s="144">
        <f>I31*INDEX(PlasticsDataCompilation!$B$20:$E$36,MATCH(PlasticsUse!$A52,PlasticsDataCompilation!$A$20:$A$36,0),1)*lb_to_kg*10^-3</f>
        <v>0.20617443319212375</v>
      </c>
      <c r="J52" s="144">
        <f>J31*INDEX(PlasticsDataCompilation!$B$20:$E$36,MATCH(PlasticsUse!$A52,PlasticsDataCompilation!$A$20:$A$36,0),1)*lb_to_kg*10^-3</f>
        <v>0</v>
      </c>
      <c r="K52" s="144">
        <f>K31*INDEX(PlasticsDataCompilation!$B$20:$E$36,MATCH(PlasticsUse!$A52,PlasticsDataCompilation!$A$20:$A$36,0),1)*lb_to_kg*10^-3</f>
        <v>0.20617443319212375</v>
      </c>
      <c r="L52" s="144">
        <f>L31*INDEX(PlasticsDataCompilation!$B$20:$E$36,MATCH(PlasticsUse!$A52,PlasticsDataCompilation!$A$20:$A$36,0),1)*lb_to_kg*10^-3</f>
        <v>0.20617443319212375</v>
      </c>
      <c r="M52" s="30">
        <f t="shared" si="16"/>
        <v>2.0617443319212376</v>
      </c>
      <c r="N52" s="23">
        <f t="shared" si="17"/>
        <v>3.2213878480796647E-2</v>
      </c>
    </row>
    <row r="53" spans="1:14" x14ac:dyDescent="0.2">
      <c r="A53" t="str">
        <f t="shared" si="15"/>
        <v>PP</v>
      </c>
      <c r="B53" s="144">
        <f>B32*INDEX(PlasticsDataCompilation!$B$20:$E$36,MATCH(PlasticsUse!$A53,PlasticsDataCompilation!$A$20:$A$36,0),1)*lb_to_kg*10^-3</f>
        <v>0.20617443319212375</v>
      </c>
      <c r="C53" s="144">
        <f>C32*INDEX(PlasticsDataCompilation!$B$20:$E$36,MATCH(PlasticsUse!$A53,PlasticsDataCompilation!$A$20:$A$36,0),1)*lb_to_kg*10^-3</f>
        <v>0.20617443319212375</v>
      </c>
      <c r="D53" s="144">
        <f>D32*INDEX(PlasticsDataCompilation!$B$20:$E$36,MATCH(PlasticsUse!$A53,PlasticsDataCompilation!$A$20:$A$36,0),1)*lb_to_kg*10^-3</f>
        <v>0.20617443319212375</v>
      </c>
      <c r="E53" s="144">
        <f>E32*INDEX(PlasticsDataCompilation!$B$20:$E$36,MATCH(PlasticsUse!$A53,PlasticsDataCompilation!$A$20:$A$36,0),1)*lb_to_kg*10^-3</f>
        <v>0.20617443319212375</v>
      </c>
      <c r="F53" s="144">
        <f>F32*INDEX(PlasticsDataCompilation!$B$20:$E$36,MATCH(PlasticsUse!$A53,PlasticsDataCompilation!$A$20:$A$36,0),1)*lb_to_kg*10^-3</f>
        <v>0.20617443319212375</v>
      </c>
      <c r="G53" s="144">
        <f>G32*INDEX(PlasticsDataCompilation!$B$20:$E$36,MATCH(PlasticsUse!$A53,PlasticsDataCompilation!$A$20:$A$36,0),1)*lb_to_kg*10^-3</f>
        <v>0.20617443319212375</v>
      </c>
      <c r="H53" s="144">
        <f>H32*INDEX(PlasticsDataCompilation!$B$20:$E$36,MATCH(PlasticsUse!$A53,PlasticsDataCompilation!$A$20:$A$36,0),1)*lb_to_kg*10^-3</f>
        <v>0.20617443319212375</v>
      </c>
      <c r="I53" s="144">
        <f>I32*INDEX(PlasticsDataCompilation!$B$20:$E$36,MATCH(PlasticsUse!$A53,PlasticsDataCompilation!$A$20:$A$36,0),1)*lb_to_kg*10^-3</f>
        <v>0.20617443319212375</v>
      </c>
      <c r="J53" s="144">
        <f>J32*INDEX(PlasticsDataCompilation!$B$20:$E$36,MATCH(PlasticsUse!$A53,PlasticsDataCompilation!$A$20:$A$36,0),1)*lb_to_kg*10^-3</f>
        <v>0</v>
      </c>
      <c r="K53" s="144">
        <f>K32*INDEX(PlasticsDataCompilation!$B$20:$E$36,MATCH(PlasticsUse!$A53,PlasticsDataCompilation!$A$20:$A$36,0),1)*lb_to_kg*10^-3</f>
        <v>0.20617443319212375</v>
      </c>
      <c r="L53" s="144">
        <f>L32*INDEX(PlasticsDataCompilation!$B$20:$E$36,MATCH(PlasticsUse!$A53,PlasticsDataCompilation!$A$20:$A$36,0),1)*lb_to_kg*10^-3</f>
        <v>0.20617443319212375</v>
      </c>
      <c r="M53" s="30">
        <f t="shared" si="16"/>
        <v>2.0617443319212376</v>
      </c>
      <c r="N53" s="23">
        <f t="shared" si="17"/>
        <v>3.2213878480796647E-2</v>
      </c>
    </row>
    <row r="54" spans="1:14" x14ac:dyDescent="0.2">
      <c r="A54" t="str">
        <f t="shared" si="15"/>
        <v>PS</v>
      </c>
      <c r="B54" s="144">
        <f>B33*INDEX(PlasticsDataCompilation!$B$20:$E$36,MATCH(PlasticsUse!$A54,PlasticsDataCompilation!$A$20:$A$36,0),1)*lb_to_kg*10^-3</f>
        <v>0.20617443319212375</v>
      </c>
      <c r="C54" s="144">
        <f>C33*INDEX(PlasticsDataCompilation!$B$20:$E$36,MATCH(PlasticsUse!$A54,PlasticsDataCompilation!$A$20:$A$36,0),1)*lb_to_kg*10^-3</f>
        <v>0.20617443319212375</v>
      </c>
      <c r="D54" s="144">
        <f>D33*INDEX(PlasticsDataCompilation!$B$20:$E$36,MATCH(PlasticsUse!$A54,PlasticsDataCompilation!$A$20:$A$36,0),1)*lb_to_kg*10^-3</f>
        <v>0.20617443319212375</v>
      </c>
      <c r="E54" s="144">
        <f>E33*INDEX(PlasticsDataCompilation!$B$20:$E$36,MATCH(PlasticsUse!$A54,PlasticsDataCompilation!$A$20:$A$36,0),1)*lb_to_kg*10^-3</f>
        <v>0.20617443319212375</v>
      </c>
      <c r="F54" s="144">
        <f>F33*INDEX(PlasticsDataCompilation!$B$20:$E$36,MATCH(PlasticsUse!$A54,PlasticsDataCompilation!$A$20:$A$36,0),1)*lb_to_kg*10^-3</f>
        <v>0.20617443319212375</v>
      </c>
      <c r="G54" s="144">
        <f>G33*INDEX(PlasticsDataCompilation!$B$20:$E$36,MATCH(PlasticsUse!$A54,PlasticsDataCompilation!$A$20:$A$36,0),1)*lb_to_kg*10^-3</f>
        <v>0.20617443319212375</v>
      </c>
      <c r="H54" s="144">
        <f>H33*INDEX(PlasticsDataCompilation!$B$20:$E$36,MATCH(PlasticsUse!$A54,PlasticsDataCompilation!$A$20:$A$36,0),1)*lb_to_kg*10^-3</f>
        <v>0.20617443319212375</v>
      </c>
      <c r="I54" s="144">
        <f>I33*INDEX(PlasticsDataCompilation!$B$20:$E$36,MATCH(PlasticsUse!$A54,PlasticsDataCompilation!$A$20:$A$36,0),1)*lb_to_kg*10^-3</f>
        <v>0.20617443319212375</v>
      </c>
      <c r="J54" s="144">
        <f>J33*INDEX(PlasticsDataCompilation!$B$20:$E$36,MATCH(PlasticsUse!$A54,PlasticsDataCompilation!$A$20:$A$36,0),1)*lb_to_kg*10^-3</f>
        <v>0</v>
      </c>
      <c r="K54" s="144">
        <f>K33*INDEX(PlasticsDataCompilation!$B$20:$E$36,MATCH(PlasticsUse!$A54,PlasticsDataCompilation!$A$20:$A$36,0),1)*lb_to_kg*10^-3</f>
        <v>0.20617443319212375</v>
      </c>
      <c r="L54" s="144">
        <f>L33*INDEX(PlasticsDataCompilation!$B$20:$E$36,MATCH(PlasticsUse!$A54,PlasticsDataCompilation!$A$20:$A$36,0),1)*lb_to_kg*10^-3</f>
        <v>0.20617443319212375</v>
      </c>
      <c r="M54" s="30">
        <f t="shared" si="16"/>
        <v>2.0617443319212376</v>
      </c>
      <c r="N54" s="23">
        <f t="shared" si="17"/>
        <v>3.2213878480796647E-2</v>
      </c>
    </row>
    <row r="55" spans="1:14" x14ac:dyDescent="0.2">
      <c r="A55" t="str">
        <f t="shared" si="15"/>
        <v>EPS</v>
      </c>
      <c r="B55" s="144">
        <f>B34*INDEX(PlasticsDataCompilation!$B$20:$E$36,MATCH(PlasticsUse!$A55,PlasticsDataCompilation!$A$20:$A$36,0),1)*lb_to_kg*10^-3</f>
        <v>0.20617443319212375</v>
      </c>
      <c r="C55" s="144">
        <f>C34*INDEX(PlasticsDataCompilation!$B$20:$E$36,MATCH(PlasticsUse!$A55,PlasticsDataCompilation!$A$20:$A$36,0),1)*lb_to_kg*10^-3</f>
        <v>0.20617443319212375</v>
      </c>
      <c r="D55" s="144">
        <f>D34*INDEX(PlasticsDataCompilation!$B$20:$E$36,MATCH(PlasticsUse!$A55,PlasticsDataCompilation!$A$20:$A$36,0),1)*lb_to_kg*10^-3</f>
        <v>0.20617443319212375</v>
      </c>
      <c r="E55" s="144">
        <f>E34*INDEX(PlasticsDataCompilation!$B$20:$E$36,MATCH(PlasticsUse!$A55,PlasticsDataCompilation!$A$20:$A$36,0),1)*lb_to_kg*10^-3</f>
        <v>0.20617443319212375</v>
      </c>
      <c r="F55" s="144">
        <f>F34*INDEX(PlasticsDataCompilation!$B$20:$E$36,MATCH(PlasticsUse!$A55,PlasticsDataCompilation!$A$20:$A$36,0),1)*lb_to_kg*10^-3</f>
        <v>0.20617443319212375</v>
      </c>
      <c r="G55" s="144">
        <f>G34*INDEX(PlasticsDataCompilation!$B$20:$E$36,MATCH(PlasticsUse!$A55,PlasticsDataCompilation!$A$20:$A$36,0),1)*lb_to_kg*10^-3</f>
        <v>0.20617443319212375</v>
      </c>
      <c r="H55" s="144">
        <f>H34*INDEX(PlasticsDataCompilation!$B$20:$E$36,MATCH(PlasticsUse!$A55,PlasticsDataCompilation!$A$20:$A$36,0),1)*lb_to_kg*10^-3</f>
        <v>0.20617443319212375</v>
      </c>
      <c r="I55" s="144">
        <f>I34*INDEX(PlasticsDataCompilation!$B$20:$E$36,MATCH(PlasticsUse!$A55,PlasticsDataCompilation!$A$20:$A$36,0),1)*lb_to_kg*10^-3</f>
        <v>0.20617443319212375</v>
      </c>
      <c r="J55" s="144">
        <f>J34*INDEX(PlasticsDataCompilation!$B$20:$E$36,MATCH(PlasticsUse!$A55,PlasticsDataCompilation!$A$20:$A$36,0),1)*lb_to_kg*10^-3</f>
        <v>0</v>
      </c>
      <c r="K55" s="144">
        <f>K34*INDEX(PlasticsDataCompilation!$B$20:$E$36,MATCH(PlasticsUse!$A55,PlasticsDataCompilation!$A$20:$A$36,0),1)*lb_to_kg*10^-3</f>
        <v>0.20617443319212375</v>
      </c>
      <c r="L55" s="144">
        <f>L34*INDEX(PlasticsDataCompilation!$B$20:$E$36,MATCH(PlasticsUse!$A55,PlasticsDataCompilation!$A$20:$A$36,0),1)*lb_to_kg*10^-3</f>
        <v>0.20617443319212375</v>
      </c>
      <c r="M55" s="30">
        <f t="shared" si="16"/>
        <v>2.0617443319212376</v>
      </c>
      <c r="N55" s="23">
        <f t="shared" si="17"/>
        <v>3.2213878480796647E-2</v>
      </c>
    </row>
    <row r="56" spans="1:14" x14ac:dyDescent="0.2">
      <c r="A56" t="str">
        <f t="shared" si="15"/>
        <v>PVC</v>
      </c>
      <c r="B56" s="144">
        <f>B35*INDEX(PlasticsDataCompilation!$B$20:$E$36,MATCH(PlasticsUse!$A56,PlasticsDataCompilation!$A$20:$A$36,0),1)*lb_to_kg*10^-3</f>
        <v>0.20617443319212375</v>
      </c>
      <c r="C56" s="144">
        <f>C35*INDEX(PlasticsDataCompilation!$B$20:$E$36,MATCH(PlasticsUse!$A56,PlasticsDataCompilation!$A$20:$A$36,0),1)*lb_to_kg*10^-3</f>
        <v>0.20617443319212375</v>
      </c>
      <c r="D56" s="144">
        <f>D35*INDEX(PlasticsDataCompilation!$B$20:$E$36,MATCH(PlasticsUse!$A56,PlasticsDataCompilation!$A$20:$A$36,0),1)*lb_to_kg*10^-3</f>
        <v>0.20617443319212375</v>
      </c>
      <c r="E56" s="144">
        <f>E35*INDEX(PlasticsDataCompilation!$B$20:$E$36,MATCH(PlasticsUse!$A56,PlasticsDataCompilation!$A$20:$A$36,0),1)*lb_to_kg*10^-3</f>
        <v>0.20617443319212375</v>
      </c>
      <c r="F56" s="144">
        <f>F35*INDEX(PlasticsDataCompilation!$B$20:$E$36,MATCH(PlasticsUse!$A56,PlasticsDataCompilation!$A$20:$A$36,0),1)*lb_to_kg*10^-3</f>
        <v>0.20617443319212375</v>
      </c>
      <c r="G56" s="144">
        <f>G35*INDEX(PlasticsDataCompilation!$B$20:$E$36,MATCH(PlasticsUse!$A56,PlasticsDataCompilation!$A$20:$A$36,0),1)*lb_to_kg*10^-3</f>
        <v>0.20617443319212375</v>
      </c>
      <c r="H56" s="144">
        <f>H35*INDEX(PlasticsDataCompilation!$B$20:$E$36,MATCH(PlasticsUse!$A56,PlasticsDataCompilation!$A$20:$A$36,0),1)*lb_to_kg*10^-3</f>
        <v>0.20617443319212375</v>
      </c>
      <c r="I56" s="144">
        <f>I35*INDEX(PlasticsDataCompilation!$B$20:$E$36,MATCH(PlasticsUse!$A56,PlasticsDataCompilation!$A$20:$A$36,0),1)*lb_to_kg*10^-3</f>
        <v>0.20617443319212375</v>
      </c>
      <c r="J56" s="144">
        <f>J35*INDEX(PlasticsDataCompilation!$B$20:$E$36,MATCH(PlasticsUse!$A56,PlasticsDataCompilation!$A$20:$A$36,0),1)*lb_to_kg*10^-3</f>
        <v>0</v>
      </c>
      <c r="K56" s="144">
        <f>K35*INDEX(PlasticsDataCompilation!$B$20:$E$36,MATCH(PlasticsUse!$A56,PlasticsDataCompilation!$A$20:$A$36,0),1)*lb_to_kg*10^-3</f>
        <v>0.20617443319212375</v>
      </c>
      <c r="L56" s="144">
        <f>L35*INDEX(PlasticsDataCompilation!$B$20:$E$36,MATCH(PlasticsUse!$A56,PlasticsDataCompilation!$A$20:$A$36,0),1)*lb_to_kg*10^-3</f>
        <v>0.20617443319212375</v>
      </c>
      <c r="M56" s="30">
        <f t="shared" si="16"/>
        <v>2.0617443319212376</v>
      </c>
      <c r="N56" s="23">
        <f t="shared" si="17"/>
        <v>3.2213878480796647E-2</v>
      </c>
    </row>
    <row r="57" spans="1:14" x14ac:dyDescent="0.2">
      <c r="A57" t="str">
        <f t="shared" si="15"/>
        <v>PET</v>
      </c>
      <c r="B57" s="144">
        <f>B36*INDEX(PlasticsDataCompilation!$B$20:$E$36,MATCH(PlasticsUse!$A57,PlasticsDataCompilation!$A$20:$A$36,0),1)*lb_to_kg*10^-3</f>
        <v>0</v>
      </c>
      <c r="C57" s="144">
        <f>C36*INDEX(PlasticsDataCompilation!$B$20:$E$36,MATCH(PlasticsUse!$A57,PlasticsDataCompilation!$A$20:$A$36,0),1)*lb_to_kg*10^-3</f>
        <v>0</v>
      </c>
      <c r="D57" s="144">
        <f>D36*INDEX(PlasticsDataCompilation!$B$20:$E$36,MATCH(PlasticsUse!$A57,PlasticsDataCompilation!$A$20:$A$36,0),1)*lb_to_kg*10^-3</f>
        <v>0</v>
      </c>
      <c r="E57" s="144">
        <f>E36*INDEX(PlasticsDataCompilation!$B$20:$E$36,MATCH(PlasticsUse!$A57,PlasticsDataCompilation!$A$20:$A$36,0),1)*lb_to_kg*10^-3</f>
        <v>0</v>
      </c>
      <c r="F57" s="144">
        <f>F36*INDEX(PlasticsDataCompilation!$B$20:$E$36,MATCH(PlasticsUse!$A57,PlasticsDataCompilation!$A$20:$A$36,0),1)*lb_to_kg*10^-3</f>
        <v>2.2573636363636371</v>
      </c>
      <c r="G57" s="144">
        <f>G36*INDEX(PlasticsDataCompilation!$B$20:$E$36,MATCH(PlasticsUse!$A57,PlasticsDataCompilation!$A$20:$A$36,0),1)*lb_to_kg*10^-3</f>
        <v>0</v>
      </c>
      <c r="H57" s="144">
        <f>H36*INDEX(PlasticsDataCompilation!$B$20:$E$36,MATCH(PlasticsUse!$A57,PlasticsDataCompilation!$A$20:$A$36,0),1)*lb_to_kg*10^-3</f>
        <v>0</v>
      </c>
      <c r="I57" s="144">
        <f>I36*INDEX(PlasticsDataCompilation!$B$20:$E$36,MATCH(PlasticsUse!$A57,PlasticsDataCompilation!$A$20:$A$36,0),1)*lb_to_kg*10^-3</f>
        <v>0</v>
      </c>
      <c r="J57" s="144">
        <f>J36*INDEX(PlasticsDataCompilation!$B$20:$E$36,MATCH(PlasticsUse!$A57,PlasticsDataCompilation!$A$20:$A$36,0),1)*lb_to_kg*10^-3</f>
        <v>0</v>
      </c>
      <c r="K57" s="144">
        <f>K36*INDEX(PlasticsDataCompilation!$B$20:$E$36,MATCH(PlasticsUse!$A57,PlasticsDataCompilation!$A$20:$A$36,0),1)*lb_to_kg*10^-3</f>
        <v>0.56081818181818188</v>
      </c>
      <c r="L57" s="144">
        <f>L36*INDEX(PlasticsDataCompilation!$B$20:$E$36,MATCH(PlasticsUse!$A57,PlasticsDataCompilation!$A$20:$A$36,0),1)*lb_to_kg*10^-3</f>
        <v>0</v>
      </c>
      <c r="M57" s="30">
        <f t="shared" si="16"/>
        <v>2.8181818181818192</v>
      </c>
      <c r="N57" s="23">
        <f t="shared" si="17"/>
        <v>4.4032892547400393E-2</v>
      </c>
    </row>
    <row r="58" spans="1:14" x14ac:dyDescent="0.2">
      <c r="A58" t="str">
        <f t="shared" si="15"/>
        <v>ABS</v>
      </c>
      <c r="B58" s="144">
        <f>B37*INDEX(PlasticsDataCompilation!$B$20:$E$36,MATCH(PlasticsUse!$A58,PlasticsDataCompilation!$A$20:$A$36,0),1)*lb_to_kg*10^-3</f>
        <v>4.5105188479999996E-2</v>
      </c>
      <c r="C58" s="144">
        <f>C37*INDEX(PlasticsDataCompilation!$B$20:$E$36,MATCH(PlasticsUse!$A58,PlasticsDataCompilation!$A$20:$A$36,0),1)*lb_to_kg*10^-3</f>
        <v>0</v>
      </c>
      <c r="D58" s="144">
        <f>D37*INDEX(PlasticsDataCompilation!$B$20:$E$36,MATCH(PlasticsUse!$A58,PlasticsDataCompilation!$A$20:$A$36,0),1)*lb_to_kg*10^-3</f>
        <v>0.14884712198399999</v>
      </c>
      <c r="E58" s="144">
        <f>E37*INDEX(PlasticsDataCompilation!$B$20:$E$36,MATCH(PlasticsUse!$A58,PlasticsDataCompilation!$A$20:$A$36,0),1)*lb_to_kg*10^-3</f>
        <v>0</v>
      </c>
      <c r="F58" s="144">
        <f>F37*INDEX(PlasticsDataCompilation!$B$20:$E$36,MATCH(PlasticsUse!$A58,PlasticsDataCompilation!$A$20:$A$36,0),1)*lb_to_kg*10^-3</f>
        <v>0</v>
      </c>
      <c r="G58" s="144">
        <f>G37*INDEX(PlasticsDataCompilation!$B$20:$E$36,MATCH(PlasticsUse!$A58,PlasticsDataCompilation!$A$20:$A$36,0),1)*lb_to_kg*10^-3</f>
        <v>0.49615707328000008</v>
      </c>
      <c r="H58" s="144">
        <f>H37*INDEX(PlasticsDataCompilation!$B$20:$E$36,MATCH(PlasticsUse!$A58,PlasticsDataCompilation!$A$20:$A$36,0),1)*lb_to_kg*10^-3</f>
        <v>0.14884712198399999</v>
      </c>
      <c r="I58" s="144">
        <f>I37*INDEX(PlasticsDataCompilation!$B$20:$E$36,MATCH(PlasticsUse!$A58,PlasticsDataCompilation!$A$20:$A$36,0),1)*lb_to_kg*10^-3</f>
        <v>0</v>
      </c>
      <c r="J58" s="144">
        <f>J37*INDEX(PlasticsDataCompilation!$B$20:$E$36,MATCH(PlasticsUse!$A58,PlasticsDataCompilation!$A$20:$A$36,0),1)*lb_to_kg*10^-3</f>
        <v>0</v>
      </c>
      <c r="K58" s="144">
        <f>K37*INDEX(PlasticsDataCompilation!$B$20:$E$36,MATCH(PlasticsUse!$A58,PlasticsDataCompilation!$A$20:$A$36,0),1)*lb_to_kg*10^-3</f>
        <v>6.3147263871999842E-2</v>
      </c>
      <c r="L58" s="144">
        <f>L37*INDEX(PlasticsDataCompilation!$B$20:$E$36,MATCH(PlasticsUse!$A58,PlasticsDataCompilation!$A$20:$A$36,0),1)*lb_to_kg*10^-3</f>
        <v>0</v>
      </c>
      <c r="M58" s="30">
        <f t="shared" si="16"/>
        <v>0.90210376959999994</v>
      </c>
      <c r="N58" s="23">
        <f t="shared" si="17"/>
        <v>1.4094987802819932E-2</v>
      </c>
    </row>
    <row r="59" spans="1:14" x14ac:dyDescent="0.2">
      <c r="A59" t="str">
        <f t="shared" si="15"/>
        <v>Polyester fiber</v>
      </c>
      <c r="B59" s="144">
        <f>B38*INDEX(PlasticsDataCompilation!$B$20:$E$36,MATCH(PlasticsUse!$A59,PlasticsDataCompilation!$A$20:$A$36,0),1)*lb_to_kg*10^-3</f>
        <v>0</v>
      </c>
      <c r="C59" s="144">
        <f>C38*INDEX(PlasticsDataCompilation!$B$20:$E$36,MATCH(PlasticsUse!$A59,PlasticsDataCompilation!$A$20:$A$36,0),1)*lb_to_kg*10^-3</f>
        <v>0.25500000000000006</v>
      </c>
      <c r="D59" s="144">
        <f>D38*INDEX(PlasticsDataCompilation!$B$20:$E$36,MATCH(PlasticsUse!$A59,PlasticsDataCompilation!$A$20:$A$36,0),1)*lb_to_kg*10^-3</f>
        <v>0</v>
      </c>
      <c r="E59" s="144">
        <f>E38*INDEX(PlasticsDataCompilation!$B$20:$E$36,MATCH(PlasticsUse!$A59,PlasticsDataCompilation!$A$20:$A$36,0),1)*lb_to_kg*10^-3</f>
        <v>0.12750000000000003</v>
      </c>
      <c r="F59" s="144">
        <f>F38*INDEX(PlasticsDataCompilation!$B$20:$E$36,MATCH(PlasticsUse!$A59,PlasticsDataCompilation!$A$20:$A$36,0),1)*lb_to_kg*10^-3</f>
        <v>0</v>
      </c>
      <c r="G59" s="144">
        <f>G38*INDEX(PlasticsDataCompilation!$B$20:$E$36,MATCH(PlasticsUse!$A59,PlasticsDataCompilation!$A$20:$A$36,0),1)*lb_to_kg*10^-3</f>
        <v>0</v>
      </c>
      <c r="H59" s="144">
        <f>H38*INDEX(PlasticsDataCompilation!$B$20:$E$36,MATCH(PlasticsUse!$A59,PlasticsDataCompilation!$A$20:$A$36,0),1)*lb_to_kg*10^-3</f>
        <v>0</v>
      </c>
      <c r="I59" s="144">
        <f>I38*INDEX(PlasticsDataCompilation!$B$20:$E$36,MATCH(PlasticsUse!$A59,PlasticsDataCompilation!$A$20:$A$36,0),1)*lb_to_kg*10^-3</f>
        <v>0</v>
      </c>
      <c r="J59" s="144">
        <f>J38*INDEX(PlasticsDataCompilation!$B$20:$E$36,MATCH(PlasticsUse!$A59,PlasticsDataCompilation!$A$20:$A$36,0),1)*lb_to_kg*10^-3</f>
        <v>0.82874999999999999</v>
      </c>
      <c r="K59" s="144">
        <f>K38*INDEX(PlasticsDataCompilation!$B$20:$E$36,MATCH(PlasticsUse!$A59,PlasticsDataCompilation!$A$20:$A$36,0),1)*lb_to_kg*10^-3</f>
        <v>0</v>
      </c>
      <c r="L59" s="144">
        <f>L38*INDEX(PlasticsDataCompilation!$B$20:$E$36,MATCH(PlasticsUse!$A59,PlasticsDataCompilation!$A$20:$A$36,0),1)*lb_to_kg*10^-3</f>
        <v>6.3750000000000015E-2</v>
      </c>
      <c r="M59" s="30">
        <f t="shared" si="16"/>
        <v>1.2750000000000001</v>
      </c>
      <c r="N59" s="23">
        <f t="shared" si="17"/>
        <v>1.9921332837977108E-2</v>
      </c>
    </row>
    <row r="60" spans="1:14" x14ac:dyDescent="0.2">
      <c r="A60" t="str">
        <f t="shared" si="15"/>
        <v>Polyamide nylon</v>
      </c>
      <c r="B60" s="144">
        <f>B39*INDEX(PlasticsDataCompilation!$B$20:$E$36,MATCH(PlasticsUse!$A60,PlasticsDataCompilation!$A$20:$A$36,0),1)*lb_to_kg*10^-3</f>
        <v>0</v>
      </c>
      <c r="C60" s="144">
        <f>C39*INDEX(PlasticsDataCompilation!$B$20:$E$36,MATCH(PlasticsUse!$A60,PlasticsDataCompilation!$A$20:$A$36,0),1)*lb_to_kg*10^-3</f>
        <v>0</v>
      </c>
      <c r="D60" s="144">
        <f>D39*INDEX(PlasticsDataCompilation!$B$20:$E$36,MATCH(PlasticsUse!$A60,PlasticsDataCompilation!$A$20:$A$36,0),1)*lb_to_kg*10^-3</f>
        <v>0</v>
      </c>
      <c r="E60" s="144">
        <f>E39*INDEX(PlasticsDataCompilation!$B$20:$E$36,MATCH(PlasticsUse!$A60,PlasticsDataCompilation!$A$20:$A$36,0),1)*lb_to_kg*10^-3</f>
        <v>0</v>
      </c>
      <c r="F60" s="144">
        <f>F39*INDEX(PlasticsDataCompilation!$B$20:$E$36,MATCH(PlasticsUse!$A60,PlasticsDataCompilation!$A$20:$A$36,0),1)*lb_to_kg*10^-3</f>
        <v>0</v>
      </c>
      <c r="G60" s="144">
        <f>G39*INDEX(PlasticsDataCompilation!$B$20:$E$36,MATCH(PlasticsUse!$A60,PlasticsDataCompilation!$A$20:$A$36,0),1)*lb_to_kg*10^-3</f>
        <v>0</v>
      </c>
      <c r="H60" s="144">
        <f>H39*INDEX(PlasticsDataCompilation!$B$20:$E$36,MATCH(PlasticsUse!$A60,PlasticsDataCompilation!$A$20:$A$36,0),1)*lb_to_kg*10^-3</f>
        <v>0</v>
      </c>
      <c r="I60" s="144">
        <f>I39*INDEX(PlasticsDataCompilation!$B$20:$E$36,MATCH(PlasticsUse!$A60,PlasticsDataCompilation!$A$20:$A$36,0),1)*lb_to_kg*10^-3</f>
        <v>0</v>
      </c>
      <c r="J60" s="144">
        <f>J39*INDEX(PlasticsDataCompilation!$B$20:$E$36,MATCH(PlasticsUse!$A60,PlasticsDataCompilation!$A$20:$A$36,0),1)*lb_to_kg*10^-3</f>
        <v>0</v>
      </c>
      <c r="K60" s="144">
        <f>K39*INDEX(PlasticsDataCompilation!$B$20:$E$36,MATCH(PlasticsUse!$A60,PlasticsDataCompilation!$A$20:$A$36,0),1)*lb_to_kg*10^-3</f>
        <v>0.6</v>
      </c>
      <c r="L60" s="144">
        <f>L39*INDEX(PlasticsDataCompilation!$B$20:$E$36,MATCH(PlasticsUse!$A60,PlasticsDataCompilation!$A$20:$A$36,0),1)*lb_to_kg*10^-3</f>
        <v>0</v>
      </c>
      <c r="M60" s="30">
        <f t="shared" si="16"/>
        <v>0.6</v>
      </c>
      <c r="N60" s="23">
        <f t="shared" si="17"/>
        <v>9.3747448649304024E-3</v>
      </c>
    </row>
    <row r="61" spans="1:14" x14ac:dyDescent="0.2">
      <c r="A61" t="str">
        <f t="shared" si="15"/>
        <v>Polycarbonate</v>
      </c>
      <c r="B61" s="144">
        <f>B40*INDEX(PlasticsDataCompilation!$B$20:$E$36,MATCH(PlasticsUse!$A61,PlasticsDataCompilation!$A$20:$A$36,0),1)*lb_to_kg*10^-3</f>
        <v>0.7876389212160001</v>
      </c>
      <c r="C61" s="144">
        <f>C40*INDEX(PlasticsDataCompilation!$B$20:$E$36,MATCH(PlasticsUse!$A61,PlasticsDataCompilation!$A$20:$A$36,0),1)*lb_to_kg*10^-3</f>
        <v>0</v>
      </c>
      <c r="D61" s="144">
        <f>D40*INDEX(PlasticsDataCompilation!$B$20:$E$36,MATCH(PlasticsUse!$A61,PlasticsDataCompilation!$A$20:$A$36,0),1)*lb_to_kg*10^-3</f>
        <v>0.7876389212160001</v>
      </c>
      <c r="E61" s="144">
        <f>E40*INDEX(PlasticsDataCompilation!$B$20:$E$36,MATCH(PlasticsUse!$A61,PlasticsDataCompilation!$A$20:$A$36,0),1)*lb_to_kg*10^-3</f>
        <v>0</v>
      </c>
      <c r="F61" s="144">
        <f>F40*INDEX(PlasticsDataCompilation!$B$20:$E$36,MATCH(PlasticsUse!$A61,PlasticsDataCompilation!$A$20:$A$36,0),1)*lb_to_kg*10^-3</f>
        <v>0.19690973030400002</v>
      </c>
      <c r="G61" s="144">
        <f>G40*INDEX(PlasticsDataCompilation!$B$20:$E$36,MATCH(PlasticsUse!$A61,PlasticsDataCompilation!$A$20:$A$36,0),1)*lb_to_kg*10^-3</f>
        <v>0.98454865152000004</v>
      </c>
      <c r="H61" s="144">
        <f>H40*INDEX(PlasticsDataCompilation!$B$20:$E$36,MATCH(PlasticsUse!$A61,PlasticsDataCompilation!$A$20:$A$36,0),1)*lb_to_kg*10^-3</f>
        <v>0.19690973030400002</v>
      </c>
      <c r="I61" s="144">
        <f>I40*INDEX(PlasticsDataCompilation!$B$20:$E$36,MATCH(PlasticsUse!$A61,PlasticsDataCompilation!$A$20:$A$36,0),1)*lb_to_kg*10^-3</f>
        <v>0</v>
      </c>
      <c r="J61" s="144">
        <f>J40*INDEX(PlasticsDataCompilation!$B$20:$E$36,MATCH(PlasticsUse!$A61,PlasticsDataCompilation!$A$20:$A$36,0),1)*lb_to_kg*10^-3</f>
        <v>0</v>
      </c>
      <c r="K61" s="144">
        <f>K40*INDEX(PlasticsDataCompilation!$B$20:$E$36,MATCH(PlasticsUse!$A61,PlasticsDataCompilation!$A$20:$A$36,0),1)*lb_to_kg*10^-3</f>
        <v>0.98454865152000004</v>
      </c>
      <c r="L61" s="144">
        <f>L40*INDEX(PlasticsDataCompilation!$B$20:$E$36,MATCH(PlasticsUse!$A61,PlasticsDataCompilation!$A$20:$A$36,0),1)*lb_to_kg*10^-3</f>
        <v>0</v>
      </c>
      <c r="M61" s="30">
        <f t="shared" si="16"/>
        <v>3.9381946060800002</v>
      </c>
      <c r="N61" s="23">
        <f t="shared" si="17"/>
        <v>6.1532616100741823E-2</v>
      </c>
    </row>
    <row r="62" spans="1:14" x14ac:dyDescent="0.2">
      <c r="A62" t="str">
        <f t="shared" si="15"/>
        <v>Styrene butadiene rubber</v>
      </c>
      <c r="B62" s="144">
        <f>B41*INDEX(PlasticsDataCompilation!$B$20:$E$36,MATCH(PlasticsUse!$A62,PlasticsDataCompilation!$A$20:$A$36,0),1)*lb_to_kg*10^-3</f>
        <v>0</v>
      </c>
      <c r="C62" s="144">
        <f>C41*INDEX(PlasticsDataCompilation!$B$20:$E$36,MATCH(PlasticsUse!$A62,PlasticsDataCompilation!$A$20:$A$36,0),1)*lb_to_kg*10^-3</f>
        <v>0</v>
      </c>
      <c r="D62" s="144">
        <f>D41*INDEX(PlasticsDataCompilation!$B$20:$E$36,MATCH(PlasticsUse!$A62,PlasticsDataCompilation!$A$20:$A$36,0),1)*lb_to_kg*10^-3</f>
        <v>0.71733936607132809</v>
      </c>
      <c r="E62" s="144">
        <f>E41*INDEX(PlasticsDataCompilation!$B$20:$E$36,MATCH(PlasticsUse!$A62,PlasticsDataCompilation!$A$20:$A$36,0),1)*lb_to_kg*10^-3</f>
        <v>0</v>
      </c>
      <c r="F62" s="144">
        <f>F41*INDEX(PlasticsDataCompilation!$B$20:$E$36,MATCH(PlasticsUse!$A62,PlasticsDataCompilation!$A$20:$A$36,0),1)*lb_to_kg*10^-3</f>
        <v>0</v>
      </c>
      <c r="G62" s="144">
        <f>G41*INDEX(PlasticsDataCompilation!$B$20:$E$36,MATCH(PlasticsUse!$A62,PlasticsDataCompilation!$A$20:$A$36,0),1)*lb_to_kg*10^-3</f>
        <v>0</v>
      </c>
      <c r="H62" s="144">
        <f>H41*INDEX(PlasticsDataCompilation!$B$20:$E$36,MATCH(PlasticsUse!$A62,PlasticsDataCompilation!$A$20:$A$36,0),1)*lb_to_kg*10^-3</f>
        <v>0</v>
      </c>
      <c r="I62" s="144">
        <f>I41*INDEX(PlasticsDataCompilation!$B$20:$E$36,MATCH(PlasticsUse!$A62,PlasticsDataCompilation!$A$20:$A$36,0),1)*lb_to_kg*10^-3</f>
        <v>6.2299944944160003E-2</v>
      </c>
      <c r="J62" s="144">
        <f>J41*INDEX(PlasticsDataCompilation!$B$20:$E$36,MATCH(PlasticsUse!$A62,PlasticsDataCompilation!$A$20:$A$36,0),1)*lb_to_kg*10^-3</f>
        <v>0.10679990561856</v>
      </c>
      <c r="K62" s="144">
        <f>K41*INDEX(PlasticsDataCompilation!$B$20:$E$36,MATCH(PlasticsUse!$A62,PlasticsDataCompilation!$A$20:$A$36,0),1)*lb_to_kg*10^-3</f>
        <v>3.5599968539519041E-3</v>
      </c>
      <c r="L62" s="144">
        <f>L41*INDEX(PlasticsDataCompilation!$B$20:$E$36,MATCH(PlasticsUse!$A62,PlasticsDataCompilation!$A$20:$A$36,0),1)*lb_to_kg*10^-3</f>
        <v>0</v>
      </c>
      <c r="M62" s="30">
        <f t="shared" si="16"/>
        <v>0.88999921348800004</v>
      </c>
      <c r="N62" s="23">
        <f t="shared" si="17"/>
        <v>1.3905859260731211E-2</v>
      </c>
    </row>
    <row r="63" spans="1:14" x14ac:dyDescent="0.2">
      <c r="A63" t="str">
        <f t="shared" si="15"/>
        <v>Other resins</v>
      </c>
      <c r="B63" s="144">
        <f>B42*INDEX(PlasticsDataCompilation!$B$20:$E$36,MATCH(PlasticsUse!$A63,PlasticsDataCompilation!$A$20:$A$36,0),1)*lb_to_kg*10^-3</f>
        <v>0</v>
      </c>
      <c r="C63" s="144">
        <f>C42*INDEX(PlasticsDataCompilation!$B$20:$E$36,MATCH(PlasticsUse!$A63,PlasticsDataCompilation!$A$20:$A$36,0),1)*lb_to_kg*10^-3</f>
        <v>0</v>
      </c>
      <c r="D63" s="144">
        <f>D42*INDEX(PlasticsDataCompilation!$B$20:$E$36,MATCH(PlasticsUse!$A63,PlasticsDataCompilation!$A$20:$A$36,0),1)*lb_to_kg*10^-3</f>
        <v>0</v>
      </c>
      <c r="E63" s="144">
        <f>E42*INDEX(PlasticsDataCompilation!$B$20:$E$36,MATCH(PlasticsUse!$A63,PlasticsDataCompilation!$A$20:$A$36,0),1)*lb_to_kg*10^-3</f>
        <v>0</v>
      </c>
      <c r="F63" s="144">
        <f>F42*INDEX(PlasticsDataCompilation!$B$20:$E$36,MATCH(PlasticsUse!$A63,PlasticsDataCompilation!$A$20:$A$36,0),1)*lb_to_kg*10^-3</f>
        <v>0</v>
      </c>
      <c r="G63" s="144">
        <f>G42*INDEX(PlasticsDataCompilation!$B$20:$E$36,MATCH(PlasticsUse!$A63,PlasticsDataCompilation!$A$20:$A$36,0),1)*lb_to_kg*10^-3</f>
        <v>0</v>
      </c>
      <c r="H63" s="144">
        <f>H42*INDEX(PlasticsDataCompilation!$B$20:$E$36,MATCH(PlasticsUse!$A63,PlasticsDataCompilation!$A$20:$A$36,0),1)*lb_to_kg*10^-3</f>
        <v>0</v>
      </c>
      <c r="I63" s="144">
        <f>I42*INDEX(PlasticsDataCompilation!$B$20:$E$36,MATCH(PlasticsUse!$A63,PlasticsDataCompilation!$A$20:$A$36,0),1)*lb_to_kg*10^-3</f>
        <v>0</v>
      </c>
      <c r="J63" s="144">
        <f>J42*INDEX(PlasticsDataCompilation!$B$20:$E$36,MATCH(PlasticsUse!$A63,PlasticsDataCompilation!$A$20:$A$36,0),1)*lb_to_kg*10^-3</f>
        <v>0</v>
      </c>
      <c r="K63" s="144">
        <f>K42*INDEX(PlasticsDataCompilation!$B$20:$E$36,MATCH(PlasticsUse!$A63,PlasticsDataCompilation!$A$20:$A$36,0),1)*lb_to_kg*10^-3</f>
        <v>0</v>
      </c>
      <c r="L63" s="144">
        <f>L42*INDEX(PlasticsDataCompilation!$B$20:$E$36,MATCH(PlasticsUse!$A63,PlasticsDataCompilation!$A$20:$A$36,0),1)*lb_to_kg*10^-3</f>
        <v>0</v>
      </c>
      <c r="M63" s="30">
        <f t="shared" si="16"/>
        <v>0</v>
      </c>
      <c r="N63" s="23">
        <f t="shared" si="17"/>
        <v>0</v>
      </c>
    </row>
    <row r="64" spans="1:14" x14ac:dyDescent="0.2">
      <c r="A64" t="str">
        <f t="shared" si="15"/>
        <v>Copolymers</v>
      </c>
      <c r="B64" s="144">
        <f>B43*INDEX(PlasticsDataCompilation!$B$20:$E$36,MATCH(PlasticsUse!$A64,PlasticsDataCompilation!$A$20:$A$36,0),1)*lb_to_kg*10^-3</f>
        <v>0</v>
      </c>
      <c r="C64" s="144">
        <f>C43*INDEX(PlasticsDataCompilation!$B$20:$E$36,MATCH(PlasticsUse!$A64,PlasticsDataCompilation!$A$20:$A$36,0),1)*lb_to_kg*10^-3</f>
        <v>0</v>
      </c>
      <c r="D64" s="144">
        <f>D43*INDEX(PlasticsDataCompilation!$B$20:$E$36,MATCH(PlasticsUse!$A64,PlasticsDataCompilation!$A$20:$A$36,0),1)*lb_to_kg*10^-3</f>
        <v>0</v>
      </c>
      <c r="E64" s="144">
        <f>E43*INDEX(PlasticsDataCompilation!$B$20:$E$36,MATCH(PlasticsUse!$A64,PlasticsDataCompilation!$A$20:$A$36,0),1)*lb_to_kg*10^-3</f>
        <v>0</v>
      </c>
      <c r="F64" s="144">
        <f>F43*INDEX(PlasticsDataCompilation!$B$20:$E$36,MATCH(PlasticsUse!$A64,PlasticsDataCompilation!$A$20:$A$36,0),1)*lb_to_kg*10^-3</f>
        <v>0</v>
      </c>
      <c r="G64" s="144">
        <f>G43*INDEX(PlasticsDataCompilation!$B$20:$E$36,MATCH(PlasticsUse!$A64,PlasticsDataCompilation!$A$20:$A$36,0),1)*lb_to_kg*10^-3</f>
        <v>0</v>
      </c>
      <c r="H64" s="144">
        <f>H43*INDEX(PlasticsDataCompilation!$B$20:$E$36,MATCH(PlasticsUse!$A64,PlasticsDataCompilation!$A$20:$A$36,0),1)*lb_to_kg*10^-3</f>
        <v>0</v>
      </c>
      <c r="I64" s="144">
        <f>I43*INDEX(PlasticsDataCompilation!$B$20:$E$36,MATCH(PlasticsUse!$A64,PlasticsDataCompilation!$A$20:$A$36,0),1)*lb_to_kg*10^-3</f>
        <v>0</v>
      </c>
      <c r="J64" s="144">
        <f>J43*INDEX(PlasticsDataCompilation!$B$20:$E$36,MATCH(PlasticsUse!$A64,PlasticsDataCompilation!$A$20:$A$36,0),1)*lb_to_kg*10^-3</f>
        <v>0</v>
      </c>
      <c r="K64" s="144">
        <f>K43*INDEX(PlasticsDataCompilation!$B$20:$E$36,MATCH(PlasticsUse!$A64,PlasticsDataCompilation!$A$20:$A$36,0),1)*lb_to_kg*10^-3</f>
        <v>0</v>
      </c>
      <c r="L64" s="144">
        <f>L43*INDEX(PlasticsDataCompilation!$B$20:$E$36,MATCH(PlasticsUse!$A64,PlasticsDataCompilation!$A$20:$A$36,0),1)*lb_to_kg*10^-3</f>
        <v>0</v>
      </c>
      <c r="M64" s="30">
        <f t="shared" si="16"/>
        <v>0</v>
      </c>
      <c r="N64" s="23">
        <f t="shared" si="17"/>
        <v>0</v>
      </c>
    </row>
    <row r="65" spans="1:14" x14ac:dyDescent="0.2">
      <c r="A65" s="2" t="s">
        <v>93</v>
      </c>
      <c r="B65" s="31">
        <f>SUM(B48:B64)</f>
        <v>4.5439251420408668</v>
      </c>
      <c r="C65" s="31">
        <f t="shared" ref="C65:L65" si="18">SUM(C48:C64)</f>
        <v>3.9661810323448665</v>
      </c>
      <c r="D65" s="31">
        <f t="shared" si="18"/>
        <v>5.3650064416161944</v>
      </c>
      <c r="E65" s="31">
        <f t="shared" si="18"/>
        <v>3.8386810323448666</v>
      </c>
      <c r="F65" s="31">
        <f t="shared" si="18"/>
        <v>6.1654543990125035</v>
      </c>
      <c r="G65" s="31">
        <f t="shared" si="18"/>
        <v>5.191886757144867</v>
      </c>
      <c r="H65" s="31">
        <f t="shared" si="18"/>
        <v>4.056937884632867</v>
      </c>
      <c r="I65" s="31">
        <f t="shared" si="18"/>
        <v>3.7734809772890268</v>
      </c>
      <c r="J65" s="31">
        <f t="shared" si="18"/>
        <v>3.2035099056185596</v>
      </c>
      <c r="K65" s="31">
        <f t="shared" si="18"/>
        <v>8.1912151264090003</v>
      </c>
      <c r="L65" s="31">
        <f t="shared" si="18"/>
        <v>3.7749310323448668</v>
      </c>
      <c r="M65" s="31">
        <f>SUM(M48:M64)</f>
        <v>52.071209730798479</v>
      </c>
      <c r="N65" s="23">
        <f>M65/$M$111</f>
        <v>0.81359051005752847</v>
      </c>
    </row>
    <row r="66" spans="1:14" x14ac:dyDescent="0.2">
      <c r="B66" s="23"/>
      <c r="C66" s="23"/>
      <c r="D66" s="23"/>
      <c r="E66" s="23"/>
      <c r="F66" s="23"/>
      <c r="G66" s="23"/>
      <c r="H66" s="23"/>
      <c r="I66" s="23"/>
      <c r="J66" s="23"/>
      <c r="K66" s="23"/>
      <c r="L66" s="23"/>
      <c r="M66" s="23"/>
    </row>
    <row r="67" spans="1:14" x14ac:dyDescent="0.2">
      <c r="B67" s="23"/>
      <c r="C67" s="23"/>
      <c r="D67" s="23"/>
      <c r="E67" s="23"/>
      <c r="F67" s="23"/>
      <c r="G67" s="23"/>
      <c r="H67" s="23"/>
      <c r="I67" s="23"/>
      <c r="J67" s="23"/>
      <c r="K67" s="23"/>
      <c r="L67" s="23"/>
      <c r="M67" s="23"/>
    </row>
    <row r="68" spans="1:14" ht="19" x14ac:dyDescent="0.25">
      <c r="A68" s="12" t="s">
        <v>893</v>
      </c>
      <c r="B68" s="23"/>
      <c r="C68" s="23"/>
      <c r="D68" s="23"/>
      <c r="E68" s="23"/>
      <c r="F68" s="23"/>
      <c r="G68" s="23"/>
      <c r="H68" s="23"/>
      <c r="I68" s="23"/>
      <c r="J68" s="23"/>
      <c r="K68" s="23"/>
      <c r="L68" s="23"/>
      <c r="M68" s="23"/>
    </row>
    <row r="69" spans="1:14" x14ac:dyDescent="0.2">
      <c r="B69" s="23"/>
      <c r="C69" s="23"/>
      <c r="D69" s="23"/>
      <c r="E69" s="23"/>
      <c r="F69" s="23"/>
      <c r="G69" s="23"/>
      <c r="H69" s="23"/>
      <c r="I69" s="23"/>
      <c r="J69" s="23"/>
      <c r="K69" s="23"/>
      <c r="L69" s="23"/>
      <c r="M69" s="23"/>
    </row>
    <row r="70" spans="1:14" x14ac:dyDescent="0.2">
      <c r="A70" s="2" t="str">
        <f t="shared" ref="A70:M70" si="19">A26</f>
        <v>Resin Type</v>
      </c>
      <c r="B70" s="2" t="str">
        <f t="shared" si="19"/>
        <v>Building and Construction</v>
      </c>
      <c r="C70" s="2" t="str">
        <f t="shared" si="19"/>
        <v>Furniture and Furnishings</v>
      </c>
      <c r="D70" s="2" t="str">
        <f t="shared" si="19"/>
        <v>Transportation</v>
      </c>
      <c r="E70" s="2" t="str">
        <f t="shared" si="19"/>
        <v>Industrial/Machinery</v>
      </c>
      <c r="F70" s="2" t="str">
        <f t="shared" si="19"/>
        <v>Packaging</v>
      </c>
      <c r="G70" s="2" t="str">
        <f t="shared" si="19"/>
        <v>Electrical/Electronic</v>
      </c>
      <c r="H70" s="2" t="str">
        <f t="shared" si="19"/>
        <v>Consumer and Institutional</v>
      </c>
      <c r="I70" s="2" t="str">
        <f t="shared" si="19"/>
        <v>Adhesives/Inks/Coatings</v>
      </c>
      <c r="J70" s="2" t="str">
        <f t="shared" si="19"/>
        <v>Textiles, Fibers and Apparel</v>
      </c>
      <c r="K70" s="2" t="str">
        <f t="shared" si="19"/>
        <v>Other End Use Markets</v>
      </c>
      <c r="L70" s="2" t="str">
        <f t="shared" si="19"/>
        <v>Exports</v>
      </c>
      <c r="M70" s="2" t="str">
        <f t="shared" si="19"/>
        <v>TOTAL</v>
      </c>
      <c r="N70" s="2" t="s">
        <v>84</v>
      </c>
    </row>
    <row r="71" spans="1:14" x14ac:dyDescent="0.2">
      <c r="A71" t="str">
        <f t="shared" ref="A71:A87" si="20">A27</f>
        <v>Polyurethane</v>
      </c>
      <c r="B71" s="144">
        <f>PlasticsUse!B27*INDEX(PlasticsDataCompilation!$B$20:$E$36,MATCH(PlasticsUse!$A71,PlasticsDataCompilation!$A$20:$A$36,0),4)</f>
        <v>2.2757299574526351</v>
      </c>
      <c r="C71" s="144">
        <f>PlasticsUse!C27*INDEX(PlasticsDataCompilation!$B$20:$E$36,MATCH(PlasticsUse!$A71,PlasticsDataCompilation!$A$20:$A$36,0),4)</f>
        <v>2.2757299574526351</v>
      </c>
      <c r="D71" s="144">
        <f>PlasticsUse!D27*INDEX(PlasticsDataCompilation!$B$20:$E$36,MATCH(PlasticsUse!$A71,PlasticsDataCompilation!$A$20:$A$36,0),4)</f>
        <v>2.2757299574526351</v>
      </c>
      <c r="E71" s="144">
        <f>PlasticsUse!E27*INDEX(PlasticsDataCompilation!$B$20:$E$36,MATCH(PlasticsUse!$A71,PlasticsDataCompilation!$A$20:$A$36,0),4)</f>
        <v>2.2757299574526351</v>
      </c>
      <c r="F71" s="144">
        <f>PlasticsUse!F27*INDEX(PlasticsDataCompilation!$B$20:$E$36,MATCH(PlasticsUse!$A71,PlasticsDataCompilation!$A$20:$A$36,0),4)</f>
        <v>2.2757299574526351</v>
      </c>
      <c r="G71" s="144">
        <f>PlasticsUse!G27*INDEX(PlasticsDataCompilation!$B$20:$E$36,MATCH(PlasticsUse!$A71,PlasticsDataCompilation!$A$20:$A$36,0),4)</f>
        <v>2.2757299574526351</v>
      </c>
      <c r="H71" s="144">
        <f>PlasticsUse!H27*INDEX(PlasticsDataCompilation!$B$20:$E$36,MATCH(PlasticsUse!$A71,PlasticsDataCompilation!$A$20:$A$36,0),4)</f>
        <v>2.2757299574526351</v>
      </c>
      <c r="I71" s="144">
        <f>PlasticsUse!I27*INDEX(PlasticsDataCompilation!$B$20:$E$36,MATCH(PlasticsUse!$A71,PlasticsDataCompilation!$A$20:$A$36,0),4)</f>
        <v>2.2757299574526351</v>
      </c>
      <c r="J71" s="144">
        <f>PlasticsUse!J27*INDEX(PlasticsDataCompilation!$B$20:$E$36,MATCH(PlasticsUse!$A71,PlasticsDataCompilation!$A$20:$A$36,0),4)</f>
        <v>2.2757299574526351</v>
      </c>
      <c r="K71" s="144">
        <f>PlasticsUse!K27*INDEX(PlasticsDataCompilation!$B$20:$E$36,MATCH(PlasticsUse!$A71,PlasticsDataCompilation!$A$20:$A$36,0),4)</f>
        <v>2.2757299574526351</v>
      </c>
      <c r="L71" s="144">
        <f>PlasticsUse!L27*INDEX(PlasticsDataCompilation!$B$20:$E$36,MATCH(PlasticsUse!$A71,PlasticsDataCompilation!$A$20:$A$36,0),4)</f>
        <v>2.2757299574526351</v>
      </c>
      <c r="M71" s="30">
        <f t="shared" ref="M71:M87" si="21">SUM(B71:L71)</f>
        <v>25.03302953197899</v>
      </c>
      <c r="N71" s="23">
        <f t="shared" ref="N71:N87" si="22">M71/$M$111</f>
        <v>0.3911304417642853</v>
      </c>
    </row>
    <row r="72" spans="1:14" x14ac:dyDescent="0.2">
      <c r="A72" t="str">
        <f t="shared" si="20"/>
        <v>Other thermosets</v>
      </c>
      <c r="B72" s="144">
        <f>PlasticsUse!B28*INDEX(PlasticsDataCompilation!$B$20:$E$36,MATCH(PlasticsUse!$A72,PlasticsDataCompilation!$A$20:$A$36,0),4)</f>
        <v>0</v>
      </c>
      <c r="C72" s="144">
        <f>PlasticsUse!C28*INDEX(PlasticsDataCompilation!$B$20:$E$36,MATCH(PlasticsUse!$A72,PlasticsDataCompilation!$A$20:$A$36,0),4)</f>
        <v>0</v>
      </c>
      <c r="D72" s="144">
        <f>PlasticsUse!D28*INDEX(PlasticsDataCompilation!$B$20:$E$36,MATCH(PlasticsUse!$A72,PlasticsDataCompilation!$A$20:$A$36,0),4)</f>
        <v>0</v>
      </c>
      <c r="E72" s="144">
        <f>PlasticsUse!E28*INDEX(PlasticsDataCompilation!$B$20:$E$36,MATCH(PlasticsUse!$A72,PlasticsDataCompilation!$A$20:$A$36,0),4)</f>
        <v>0</v>
      </c>
      <c r="F72" s="144">
        <f>PlasticsUse!F28*INDEX(PlasticsDataCompilation!$B$20:$E$36,MATCH(PlasticsUse!$A72,PlasticsDataCompilation!$A$20:$A$36,0),4)</f>
        <v>0</v>
      </c>
      <c r="G72" s="144">
        <f>PlasticsUse!G28*INDEX(PlasticsDataCompilation!$B$20:$E$36,MATCH(PlasticsUse!$A72,PlasticsDataCompilation!$A$20:$A$36,0),4)</f>
        <v>0</v>
      </c>
      <c r="H72" s="144">
        <f>PlasticsUse!H28*INDEX(PlasticsDataCompilation!$B$20:$E$36,MATCH(PlasticsUse!$A72,PlasticsDataCompilation!$A$20:$A$36,0),4)</f>
        <v>0</v>
      </c>
      <c r="I72" s="144">
        <f>PlasticsUse!I28*INDEX(PlasticsDataCompilation!$B$20:$E$36,MATCH(PlasticsUse!$A72,PlasticsDataCompilation!$A$20:$A$36,0),4)</f>
        <v>0</v>
      </c>
      <c r="J72" s="144">
        <f>PlasticsUse!J28*INDEX(PlasticsDataCompilation!$B$20:$E$36,MATCH(PlasticsUse!$A72,PlasticsDataCompilation!$A$20:$A$36,0),4)</f>
        <v>0</v>
      </c>
      <c r="K72" s="144">
        <f>PlasticsUse!K28*INDEX(PlasticsDataCompilation!$B$20:$E$36,MATCH(PlasticsUse!$A72,PlasticsDataCompilation!$A$20:$A$36,0),4)</f>
        <v>2.26796</v>
      </c>
      <c r="L72" s="144">
        <f>PlasticsUse!L28*INDEX(PlasticsDataCompilation!$B$20:$E$36,MATCH(PlasticsUse!$A72,PlasticsDataCompilation!$A$20:$A$36,0),4)</f>
        <v>0</v>
      </c>
      <c r="M72" s="30">
        <f t="shared" si="21"/>
        <v>2.26796</v>
      </c>
      <c r="N72" s="23">
        <f t="shared" si="22"/>
        <v>3.5435910606445929E-2</v>
      </c>
    </row>
    <row r="73" spans="1:14" x14ac:dyDescent="0.2">
      <c r="A73" t="str">
        <f t="shared" si="20"/>
        <v>LDPE</v>
      </c>
      <c r="B73" s="144">
        <f>PlasticsUse!B29*INDEX(PlasticsDataCompilation!$B$20:$E$36,MATCH(PlasticsUse!$A73,PlasticsDataCompilation!$A$20:$A$36,0),4)</f>
        <v>0.24274729590067587</v>
      </c>
      <c r="C73" s="144">
        <f>PlasticsUse!C29*INDEX(PlasticsDataCompilation!$B$20:$E$36,MATCH(PlasticsUse!$A73,PlasticsDataCompilation!$A$20:$A$36,0),4)</f>
        <v>0.24274729590067587</v>
      </c>
      <c r="D73" s="144">
        <f>PlasticsUse!D29*INDEX(PlasticsDataCompilation!$B$20:$E$36,MATCH(PlasticsUse!$A73,PlasticsDataCompilation!$A$20:$A$36,0),4)</f>
        <v>0.24274729590067587</v>
      </c>
      <c r="E73" s="144">
        <f>PlasticsUse!E29*INDEX(PlasticsDataCompilation!$B$20:$E$36,MATCH(PlasticsUse!$A73,PlasticsDataCompilation!$A$20:$A$36,0),4)</f>
        <v>0.24274729590067587</v>
      </c>
      <c r="F73" s="144">
        <f>PlasticsUse!F29*INDEX(PlasticsDataCompilation!$B$20:$E$36,MATCH(PlasticsUse!$A73,PlasticsDataCompilation!$A$20:$A$36,0),4)</f>
        <v>0.24274729590067587</v>
      </c>
      <c r="G73" s="144">
        <f>PlasticsUse!G29*INDEX(PlasticsDataCompilation!$B$20:$E$36,MATCH(PlasticsUse!$A73,PlasticsDataCompilation!$A$20:$A$36,0),4)</f>
        <v>0.24274729590067587</v>
      </c>
      <c r="H73" s="144">
        <f>PlasticsUse!H29*INDEX(PlasticsDataCompilation!$B$20:$E$36,MATCH(PlasticsUse!$A73,PlasticsDataCompilation!$A$20:$A$36,0),4)</f>
        <v>0.24274729590067587</v>
      </c>
      <c r="I73" s="144">
        <f>PlasticsUse!I29*INDEX(PlasticsDataCompilation!$B$20:$E$36,MATCH(PlasticsUse!$A73,PlasticsDataCompilation!$A$20:$A$36,0),4)</f>
        <v>0.24274729590067587</v>
      </c>
      <c r="J73" s="144">
        <f>PlasticsUse!J29*INDEX(PlasticsDataCompilation!$B$20:$E$36,MATCH(PlasticsUse!$A73,PlasticsDataCompilation!$A$20:$A$36,0),4)</f>
        <v>0</v>
      </c>
      <c r="K73" s="144">
        <f>PlasticsUse!K29*INDEX(PlasticsDataCompilation!$B$20:$E$36,MATCH(PlasticsUse!$A73,PlasticsDataCompilation!$A$20:$A$36,0),4)</f>
        <v>0.24274729590067587</v>
      </c>
      <c r="L73" s="144">
        <f>PlasticsUse!L29*INDEX(PlasticsDataCompilation!$B$20:$E$36,MATCH(PlasticsUse!$A73,PlasticsDataCompilation!$A$20:$A$36,0),4)</f>
        <v>0.24274729590067587</v>
      </c>
      <c r="M73" s="30">
        <f t="shared" si="21"/>
        <v>2.4274729590067587</v>
      </c>
      <c r="N73" s="23">
        <f t="shared" si="22"/>
        <v>3.7928232762010038E-2</v>
      </c>
    </row>
    <row r="74" spans="1:14" x14ac:dyDescent="0.2">
      <c r="A74" t="str">
        <f t="shared" si="20"/>
        <v>LLDPE</v>
      </c>
      <c r="B74" s="144">
        <f>PlasticsUse!B30*INDEX(PlasticsDataCompilation!$B$20:$E$36,MATCH(PlasticsUse!$A74,PlasticsDataCompilation!$A$20:$A$36,0),4)</f>
        <v>0.21063672995577348</v>
      </c>
      <c r="C74" s="144">
        <f>PlasticsUse!C30*INDEX(PlasticsDataCompilation!$B$20:$E$36,MATCH(PlasticsUse!$A74,PlasticsDataCompilation!$A$20:$A$36,0),4)</f>
        <v>0.21063672995577348</v>
      </c>
      <c r="D74" s="144">
        <f>PlasticsUse!D30*INDEX(PlasticsDataCompilation!$B$20:$E$36,MATCH(PlasticsUse!$A74,PlasticsDataCompilation!$A$20:$A$36,0),4)</f>
        <v>0.21063672995577348</v>
      </c>
      <c r="E74" s="144">
        <f>PlasticsUse!E30*INDEX(PlasticsDataCompilation!$B$20:$E$36,MATCH(PlasticsUse!$A74,PlasticsDataCompilation!$A$20:$A$36,0),4)</f>
        <v>0.21063672995577348</v>
      </c>
      <c r="F74" s="144">
        <f>PlasticsUse!F30*INDEX(PlasticsDataCompilation!$B$20:$E$36,MATCH(PlasticsUse!$A74,PlasticsDataCompilation!$A$20:$A$36,0),4)</f>
        <v>0.21063672995577348</v>
      </c>
      <c r="G74" s="144">
        <f>PlasticsUse!G30*INDEX(PlasticsDataCompilation!$B$20:$E$36,MATCH(PlasticsUse!$A74,PlasticsDataCompilation!$A$20:$A$36,0),4)</f>
        <v>0.21063672995577348</v>
      </c>
      <c r="H74" s="144">
        <f>PlasticsUse!H30*INDEX(PlasticsDataCompilation!$B$20:$E$36,MATCH(PlasticsUse!$A74,PlasticsDataCompilation!$A$20:$A$36,0),4)</f>
        <v>0.21063672995577348</v>
      </c>
      <c r="I74" s="144">
        <f>PlasticsUse!I30*INDEX(PlasticsDataCompilation!$B$20:$E$36,MATCH(PlasticsUse!$A74,PlasticsDataCompilation!$A$20:$A$36,0),4)</f>
        <v>0.21063672995577348</v>
      </c>
      <c r="J74" s="144">
        <f>PlasticsUse!J30*INDEX(PlasticsDataCompilation!$B$20:$E$36,MATCH(PlasticsUse!$A74,PlasticsDataCompilation!$A$20:$A$36,0),4)</f>
        <v>0</v>
      </c>
      <c r="K74" s="144">
        <f>PlasticsUse!K30*INDEX(PlasticsDataCompilation!$B$20:$E$36,MATCH(PlasticsUse!$A74,PlasticsDataCompilation!$A$20:$A$36,0),4)</f>
        <v>0.21063672995577348</v>
      </c>
      <c r="L74" s="144">
        <f>PlasticsUse!L30*INDEX(PlasticsDataCompilation!$B$20:$E$36,MATCH(PlasticsUse!$A74,PlasticsDataCompilation!$A$20:$A$36,0),4)</f>
        <v>0.21063672995577348</v>
      </c>
      <c r="M74" s="30">
        <f t="shared" si="21"/>
        <v>2.1063672995577347</v>
      </c>
      <c r="N74" s="23">
        <f t="shared" si="22"/>
        <v>3.291109337531032E-2</v>
      </c>
    </row>
    <row r="75" spans="1:14" x14ac:dyDescent="0.2">
      <c r="A75" t="str">
        <f t="shared" si="20"/>
        <v>HDPE</v>
      </c>
      <c r="B75" s="144">
        <f>PlasticsUse!B31*INDEX(PlasticsDataCompilation!$B$20:$E$36,MATCH(PlasticsUse!$A75,PlasticsDataCompilation!$A$20:$A$36,0),4)</f>
        <v>0.29456523123690448</v>
      </c>
      <c r="C75" s="144">
        <f>PlasticsUse!C31*INDEX(PlasticsDataCompilation!$B$20:$E$36,MATCH(PlasticsUse!$A75,PlasticsDataCompilation!$A$20:$A$36,0),4)</f>
        <v>0.29456523123690448</v>
      </c>
      <c r="D75" s="144">
        <f>PlasticsUse!D31*INDEX(PlasticsDataCompilation!$B$20:$E$36,MATCH(PlasticsUse!$A75,PlasticsDataCompilation!$A$20:$A$36,0),4)</f>
        <v>0.29456523123690448</v>
      </c>
      <c r="E75" s="144">
        <f>PlasticsUse!E31*INDEX(PlasticsDataCompilation!$B$20:$E$36,MATCH(PlasticsUse!$A75,PlasticsDataCompilation!$A$20:$A$36,0),4)</f>
        <v>0.29456523123690448</v>
      </c>
      <c r="F75" s="144">
        <f>PlasticsUse!F31*INDEX(PlasticsDataCompilation!$B$20:$E$36,MATCH(PlasticsUse!$A75,PlasticsDataCompilation!$A$20:$A$36,0),4)</f>
        <v>0.29456523123690448</v>
      </c>
      <c r="G75" s="144">
        <f>PlasticsUse!G31*INDEX(PlasticsDataCompilation!$B$20:$E$36,MATCH(PlasticsUse!$A75,PlasticsDataCompilation!$A$20:$A$36,0),4)</f>
        <v>0.29456523123690448</v>
      </c>
      <c r="H75" s="144">
        <f>PlasticsUse!H31*INDEX(PlasticsDataCompilation!$B$20:$E$36,MATCH(PlasticsUse!$A75,PlasticsDataCompilation!$A$20:$A$36,0),4)</f>
        <v>0.29456523123690448</v>
      </c>
      <c r="I75" s="144">
        <f>PlasticsUse!I31*INDEX(PlasticsDataCompilation!$B$20:$E$36,MATCH(PlasticsUse!$A75,PlasticsDataCompilation!$A$20:$A$36,0),4)</f>
        <v>0.29456523123690448</v>
      </c>
      <c r="J75" s="144">
        <f>PlasticsUse!J31*INDEX(PlasticsDataCompilation!$B$20:$E$36,MATCH(PlasticsUse!$A75,PlasticsDataCompilation!$A$20:$A$36,0),4)</f>
        <v>0</v>
      </c>
      <c r="K75" s="144">
        <f>PlasticsUse!K31*INDEX(PlasticsDataCompilation!$B$20:$E$36,MATCH(PlasticsUse!$A75,PlasticsDataCompilation!$A$20:$A$36,0),4)</f>
        <v>0.29456523123690448</v>
      </c>
      <c r="L75" s="144">
        <f>PlasticsUse!L31*INDEX(PlasticsDataCompilation!$B$20:$E$36,MATCH(PlasticsUse!$A75,PlasticsDataCompilation!$A$20:$A$36,0),4)</f>
        <v>0.29456523123690448</v>
      </c>
      <c r="M75" s="30">
        <f t="shared" si="21"/>
        <v>2.9456523123690452</v>
      </c>
      <c r="N75" s="23">
        <f t="shared" si="22"/>
        <v>4.6024564815420124E-2</v>
      </c>
    </row>
    <row r="76" spans="1:14" x14ac:dyDescent="0.2">
      <c r="A76" t="str">
        <f t="shared" si="20"/>
        <v>PP</v>
      </c>
      <c r="B76" s="144">
        <f>PlasticsUse!B32*INDEX(PlasticsDataCompilation!$B$20:$E$36,MATCH(PlasticsUse!$A76,PlasticsDataCompilation!$A$20:$A$36,0),4)</f>
        <v>0.22658575439314271</v>
      </c>
      <c r="C76" s="144">
        <f>PlasticsUse!C32*INDEX(PlasticsDataCompilation!$B$20:$E$36,MATCH(PlasticsUse!$A76,PlasticsDataCompilation!$A$20:$A$36,0),4)</f>
        <v>0.22658575439314271</v>
      </c>
      <c r="D76" s="144">
        <f>PlasticsUse!D32*INDEX(PlasticsDataCompilation!$B$20:$E$36,MATCH(PlasticsUse!$A76,PlasticsDataCompilation!$A$20:$A$36,0),4)</f>
        <v>0.22658575439314271</v>
      </c>
      <c r="E76" s="144">
        <f>PlasticsUse!E32*INDEX(PlasticsDataCompilation!$B$20:$E$36,MATCH(PlasticsUse!$A76,PlasticsDataCompilation!$A$20:$A$36,0),4)</f>
        <v>0.22658575439314271</v>
      </c>
      <c r="F76" s="144">
        <f>PlasticsUse!F32*INDEX(PlasticsDataCompilation!$B$20:$E$36,MATCH(PlasticsUse!$A76,PlasticsDataCompilation!$A$20:$A$36,0),4)</f>
        <v>0.22658575439314271</v>
      </c>
      <c r="G76" s="144">
        <f>PlasticsUse!G32*INDEX(PlasticsDataCompilation!$B$20:$E$36,MATCH(PlasticsUse!$A76,PlasticsDataCompilation!$A$20:$A$36,0),4)</f>
        <v>0.22658575439314271</v>
      </c>
      <c r="H76" s="144">
        <f>PlasticsUse!H32*INDEX(PlasticsDataCompilation!$B$20:$E$36,MATCH(PlasticsUse!$A76,PlasticsDataCompilation!$A$20:$A$36,0),4)</f>
        <v>0.22658575439314271</v>
      </c>
      <c r="I76" s="144">
        <f>PlasticsUse!I32*INDEX(PlasticsDataCompilation!$B$20:$E$36,MATCH(PlasticsUse!$A76,PlasticsDataCompilation!$A$20:$A$36,0),4)</f>
        <v>0.22658575439314271</v>
      </c>
      <c r="J76" s="144">
        <f>PlasticsUse!J32*INDEX(PlasticsDataCompilation!$B$20:$E$36,MATCH(PlasticsUse!$A76,PlasticsDataCompilation!$A$20:$A$36,0),4)</f>
        <v>0</v>
      </c>
      <c r="K76" s="144">
        <f>PlasticsUse!K32*INDEX(PlasticsDataCompilation!$B$20:$E$36,MATCH(PlasticsUse!$A76,PlasticsDataCompilation!$A$20:$A$36,0),4)</f>
        <v>0.22658575439314271</v>
      </c>
      <c r="L76" s="144">
        <f>PlasticsUse!L32*INDEX(PlasticsDataCompilation!$B$20:$E$36,MATCH(PlasticsUse!$A76,PlasticsDataCompilation!$A$20:$A$36,0),4)</f>
        <v>0.22658575439314271</v>
      </c>
      <c r="M76" s="30">
        <f t="shared" si="21"/>
        <v>2.265857543931427</v>
      </c>
      <c r="N76" s="23">
        <f t="shared" si="22"/>
        <v>3.5403060624391601E-2</v>
      </c>
    </row>
    <row r="77" spans="1:14" x14ac:dyDescent="0.2">
      <c r="A77" t="str">
        <f t="shared" si="20"/>
        <v>PS</v>
      </c>
      <c r="B77" s="144">
        <f>PlasticsUse!B33*INDEX(PlasticsDataCompilation!$B$20:$E$36,MATCH(PlasticsUse!$A77,PlasticsDataCompilation!$A$20:$A$36,0),4)</f>
        <v>0.21138337581885186</v>
      </c>
      <c r="C77" s="144">
        <f>PlasticsUse!C33*INDEX(PlasticsDataCompilation!$B$20:$E$36,MATCH(PlasticsUse!$A77,PlasticsDataCompilation!$A$20:$A$36,0),4)</f>
        <v>0.21138337581885186</v>
      </c>
      <c r="D77" s="144">
        <f>PlasticsUse!D33*INDEX(PlasticsDataCompilation!$B$20:$E$36,MATCH(PlasticsUse!$A77,PlasticsDataCompilation!$A$20:$A$36,0),4)</f>
        <v>0.21138337581885186</v>
      </c>
      <c r="E77" s="144">
        <f>PlasticsUse!E33*INDEX(PlasticsDataCompilation!$B$20:$E$36,MATCH(PlasticsUse!$A77,PlasticsDataCompilation!$A$20:$A$36,0),4)</f>
        <v>0.21138337581885186</v>
      </c>
      <c r="F77" s="144">
        <f>PlasticsUse!F33*INDEX(PlasticsDataCompilation!$B$20:$E$36,MATCH(PlasticsUse!$A77,PlasticsDataCompilation!$A$20:$A$36,0),4)</f>
        <v>0.21138337581885186</v>
      </c>
      <c r="G77" s="144">
        <f>PlasticsUse!G33*INDEX(PlasticsDataCompilation!$B$20:$E$36,MATCH(PlasticsUse!$A77,PlasticsDataCompilation!$A$20:$A$36,0),4)</f>
        <v>0.21138337581885186</v>
      </c>
      <c r="H77" s="144">
        <f>PlasticsUse!H33*INDEX(PlasticsDataCompilation!$B$20:$E$36,MATCH(PlasticsUse!$A77,PlasticsDataCompilation!$A$20:$A$36,0),4)</f>
        <v>0.21138337581885186</v>
      </c>
      <c r="I77" s="144">
        <f>PlasticsUse!I33*INDEX(PlasticsDataCompilation!$B$20:$E$36,MATCH(PlasticsUse!$A77,PlasticsDataCompilation!$A$20:$A$36,0),4)</f>
        <v>0.21138337581885186</v>
      </c>
      <c r="J77" s="144">
        <f>PlasticsUse!J33*INDEX(PlasticsDataCompilation!$B$20:$E$36,MATCH(PlasticsUse!$A77,PlasticsDataCompilation!$A$20:$A$36,0),4)</f>
        <v>0</v>
      </c>
      <c r="K77" s="144">
        <f>PlasticsUse!K33*INDEX(PlasticsDataCompilation!$B$20:$E$36,MATCH(PlasticsUse!$A77,PlasticsDataCompilation!$A$20:$A$36,0),4)</f>
        <v>0.21138337581885186</v>
      </c>
      <c r="L77" s="144">
        <f>PlasticsUse!L33*INDEX(PlasticsDataCompilation!$B$20:$E$36,MATCH(PlasticsUse!$A77,PlasticsDataCompilation!$A$20:$A$36,0),4)</f>
        <v>0.21138337581885186</v>
      </c>
      <c r="M77" s="30">
        <f t="shared" si="21"/>
        <v>2.1138337581885187</v>
      </c>
      <c r="N77" s="23">
        <f t="shared" si="22"/>
        <v>3.3027753616490588E-2</v>
      </c>
    </row>
    <row r="78" spans="1:14" x14ac:dyDescent="0.2">
      <c r="A78" t="str">
        <f t="shared" si="20"/>
        <v>EPS</v>
      </c>
      <c r="B78" s="144">
        <f>PlasticsUse!B34*INDEX(PlasticsDataCompilation!$B$20:$E$36,MATCH(PlasticsUse!$A78,PlasticsDataCompilation!$A$20:$A$36,0),4)</f>
        <v>0.21706715530500378</v>
      </c>
      <c r="C78" s="144">
        <f>PlasticsUse!C34*INDEX(PlasticsDataCompilation!$B$20:$E$36,MATCH(PlasticsUse!$A78,PlasticsDataCompilation!$A$20:$A$36,0),4)</f>
        <v>0.21706715530500378</v>
      </c>
      <c r="D78" s="144">
        <f>PlasticsUse!D34*INDEX(PlasticsDataCompilation!$B$20:$E$36,MATCH(PlasticsUse!$A78,PlasticsDataCompilation!$A$20:$A$36,0),4)</f>
        <v>0.21706715530500378</v>
      </c>
      <c r="E78" s="144">
        <f>PlasticsUse!E34*INDEX(PlasticsDataCompilation!$B$20:$E$36,MATCH(PlasticsUse!$A78,PlasticsDataCompilation!$A$20:$A$36,0),4)</f>
        <v>0.21706715530500378</v>
      </c>
      <c r="F78" s="144">
        <f>PlasticsUse!F34*INDEX(PlasticsDataCompilation!$B$20:$E$36,MATCH(PlasticsUse!$A78,PlasticsDataCompilation!$A$20:$A$36,0),4)</f>
        <v>0.21706715530500378</v>
      </c>
      <c r="G78" s="144">
        <f>PlasticsUse!G34*INDEX(PlasticsDataCompilation!$B$20:$E$36,MATCH(PlasticsUse!$A78,PlasticsDataCompilation!$A$20:$A$36,0),4)</f>
        <v>0.21706715530500378</v>
      </c>
      <c r="H78" s="144">
        <f>PlasticsUse!H34*INDEX(PlasticsDataCompilation!$B$20:$E$36,MATCH(PlasticsUse!$A78,PlasticsDataCompilation!$A$20:$A$36,0),4)</f>
        <v>0.21706715530500378</v>
      </c>
      <c r="I78" s="144">
        <f>PlasticsUse!I34*INDEX(PlasticsDataCompilation!$B$20:$E$36,MATCH(PlasticsUse!$A78,PlasticsDataCompilation!$A$20:$A$36,0),4)</f>
        <v>0.21706715530500378</v>
      </c>
      <c r="J78" s="144">
        <f>PlasticsUse!J34*INDEX(PlasticsDataCompilation!$B$20:$E$36,MATCH(PlasticsUse!$A78,PlasticsDataCompilation!$A$20:$A$36,0),4)</f>
        <v>0</v>
      </c>
      <c r="K78" s="144">
        <f>PlasticsUse!K34*INDEX(PlasticsDataCompilation!$B$20:$E$36,MATCH(PlasticsUse!$A78,PlasticsDataCompilation!$A$20:$A$36,0),4)</f>
        <v>0.21706715530500378</v>
      </c>
      <c r="L78" s="144">
        <f>PlasticsUse!L34*INDEX(PlasticsDataCompilation!$B$20:$E$36,MATCH(PlasticsUse!$A78,PlasticsDataCompilation!$A$20:$A$36,0),4)</f>
        <v>0.21706715530500378</v>
      </c>
      <c r="M78" s="30">
        <f t="shared" si="21"/>
        <v>2.1706715530500382</v>
      </c>
      <c r="N78" s="23">
        <f t="shared" si="22"/>
        <v>3.3915819992343915E-2</v>
      </c>
    </row>
    <row r="79" spans="1:14" x14ac:dyDescent="0.2">
      <c r="A79" t="str">
        <f t="shared" si="20"/>
        <v>PVC</v>
      </c>
      <c r="B79" s="144">
        <f>PlasticsUse!B35*INDEX(PlasticsDataCompilation!$B$20:$E$36,MATCH(PlasticsUse!$A79,PlasticsDataCompilation!$A$20:$A$36,0),4)</f>
        <v>0.2221145175819659</v>
      </c>
      <c r="C79" s="144">
        <f>PlasticsUse!C35*INDEX(PlasticsDataCompilation!$B$20:$E$36,MATCH(PlasticsUse!$A79,PlasticsDataCompilation!$A$20:$A$36,0),4)</f>
        <v>0.2221145175819659</v>
      </c>
      <c r="D79" s="144">
        <f>PlasticsUse!D35*INDEX(PlasticsDataCompilation!$B$20:$E$36,MATCH(PlasticsUse!$A79,PlasticsDataCompilation!$A$20:$A$36,0),4)</f>
        <v>0.2221145175819659</v>
      </c>
      <c r="E79" s="144">
        <f>PlasticsUse!E35*INDEX(PlasticsDataCompilation!$B$20:$E$36,MATCH(PlasticsUse!$A79,PlasticsDataCompilation!$A$20:$A$36,0),4)</f>
        <v>0.2221145175819659</v>
      </c>
      <c r="F79" s="144">
        <f>PlasticsUse!F35*INDEX(PlasticsDataCompilation!$B$20:$E$36,MATCH(PlasticsUse!$A79,PlasticsDataCompilation!$A$20:$A$36,0),4)</f>
        <v>0.2221145175819659</v>
      </c>
      <c r="G79" s="144">
        <f>PlasticsUse!G35*INDEX(PlasticsDataCompilation!$B$20:$E$36,MATCH(PlasticsUse!$A79,PlasticsDataCompilation!$A$20:$A$36,0),4)</f>
        <v>0.2221145175819659</v>
      </c>
      <c r="H79" s="144">
        <f>PlasticsUse!H35*INDEX(PlasticsDataCompilation!$B$20:$E$36,MATCH(PlasticsUse!$A79,PlasticsDataCompilation!$A$20:$A$36,0),4)</f>
        <v>0.2221145175819659</v>
      </c>
      <c r="I79" s="144">
        <f>PlasticsUse!I35*INDEX(PlasticsDataCompilation!$B$20:$E$36,MATCH(PlasticsUse!$A79,PlasticsDataCompilation!$A$20:$A$36,0),4)</f>
        <v>0.2221145175819659</v>
      </c>
      <c r="J79" s="144">
        <f>PlasticsUse!J35*INDEX(PlasticsDataCompilation!$B$20:$E$36,MATCH(PlasticsUse!$A79,PlasticsDataCompilation!$A$20:$A$36,0),4)</f>
        <v>0</v>
      </c>
      <c r="K79" s="144">
        <f>PlasticsUse!K35*INDEX(PlasticsDataCompilation!$B$20:$E$36,MATCH(PlasticsUse!$A79,PlasticsDataCompilation!$A$20:$A$36,0),4)</f>
        <v>0.2221145175819659</v>
      </c>
      <c r="L79" s="144">
        <f>PlasticsUse!L35*INDEX(PlasticsDataCompilation!$B$20:$E$36,MATCH(PlasticsUse!$A79,PlasticsDataCompilation!$A$20:$A$36,0),4)</f>
        <v>0.2221145175819659</v>
      </c>
      <c r="M79" s="30">
        <f t="shared" si="21"/>
        <v>2.2211451758196592</v>
      </c>
      <c r="N79" s="23">
        <f t="shared" si="22"/>
        <v>3.4704448885467143E-2</v>
      </c>
    </row>
    <row r="80" spans="1:14" x14ac:dyDescent="0.2">
      <c r="A80" t="str">
        <f t="shared" si="20"/>
        <v>PET</v>
      </c>
      <c r="B80" s="144">
        <f>PlasticsUse!B36*INDEX(PlasticsDataCompilation!$B$20:$E$36,MATCH(PlasticsUse!$A80,PlasticsDataCompilation!$A$20:$A$36,0),4)</f>
        <v>0</v>
      </c>
      <c r="C80" s="144">
        <f>PlasticsUse!C36*INDEX(PlasticsDataCompilation!$B$20:$E$36,MATCH(PlasticsUse!$A80,PlasticsDataCompilation!$A$20:$A$36,0),4)</f>
        <v>0</v>
      </c>
      <c r="D80" s="144">
        <f>PlasticsUse!D36*INDEX(PlasticsDataCompilation!$B$20:$E$36,MATCH(PlasticsUse!$A80,PlasticsDataCompilation!$A$20:$A$36,0),4)</f>
        <v>0</v>
      </c>
      <c r="E80" s="144">
        <f>PlasticsUse!E36*INDEX(PlasticsDataCompilation!$B$20:$E$36,MATCH(PlasticsUse!$A80,PlasticsDataCompilation!$A$20:$A$36,0),4)</f>
        <v>0</v>
      </c>
      <c r="F80" s="144">
        <f>PlasticsUse!F36*INDEX(PlasticsDataCompilation!$B$20:$E$36,MATCH(PlasticsUse!$A80,PlasticsDataCompilation!$A$20:$A$36,0),4)</f>
        <v>2.7252772836935515</v>
      </c>
      <c r="G80" s="144">
        <f>PlasticsUse!G36*INDEX(PlasticsDataCompilation!$B$20:$E$36,MATCH(PlasticsUse!$A80,PlasticsDataCompilation!$A$20:$A$36,0),4)</f>
        <v>0</v>
      </c>
      <c r="H80" s="144">
        <f>PlasticsUse!H36*INDEX(PlasticsDataCompilation!$B$20:$E$36,MATCH(PlasticsUse!$A80,PlasticsDataCompilation!$A$20:$A$36,0),4)</f>
        <v>0</v>
      </c>
      <c r="I80" s="144">
        <f>PlasticsUse!I36*INDEX(PlasticsDataCompilation!$B$20:$E$36,MATCH(PlasticsUse!$A80,PlasticsDataCompilation!$A$20:$A$36,0),4)</f>
        <v>0</v>
      </c>
      <c r="J80" s="144">
        <f>PlasticsUse!J36*INDEX(PlasticsDataCompilation!$B$20:$E$36,MATCH(PlasticsUse!$A80,PlasticsDataCompilation!$A$20:$A$36,0),4)</f>
        <v>0</v>
      </c>
      <c r="K80" s="144">
        <f>PlasticsUse!K36*INDEX(PlasticsDataCompilation!$B$20:$E$36,MATCH(PlasticsUse!$A80,PlasticsDataCompilation!$A$20:$A$36,0),4)</f>
        <v>0.67706639132960889</v>
      </c>
      <c r="L80" s="144">
        <f>PlasticsUse!L36*INDEX(PlasticsDataCompilation!$B$20:$E$36,MATCH(PlasticsUse!$A80,PlasticsDataCompilation!$A$20:$A$36,0),4)</f>
        <v>0</v>
      </c>
      <c r="M80" s="30">
        <f t="shared" si="21"/>
        <v>3.4023436750231602</v>
      </c>
      <c r="N80" s="23">
        <f t="shared" si="22"/>
        <v>5.316017316025301E-2</v>
      </c>
    </row>
    <row r="81" spans="1:14" x14ac:dyDescent="0.2">
      <c r="A81" t="str">
        <f t="shared" si="20"/>
        <v>ABS</v>
      </c>
      <c r="B81" s="144">
        <f>PlasticsUse!B37*INDEX(PlasticsDataCompilation!$B$20:$E$36,MATCH(PlasticsUse!$A81,PlasticsDataCompilation!$A$20:$A$36,0),4)</f>
        <v>5.028795749727806E-2</v>
      </c>
      <c r="C81" s="144">
        <f>PlasticsUse!C37*INDEX(PlasticsDataCompilation!$B$20:$E$36,MATCH(PlasticsUse!$A81,PlasticsDataCompilation!$A$20:$A$36,0),4)</f>
        <v>0</v>
      </c>
      <c r="D81" s="144">
        <f>PlasticsUse!D37*INDEX(PlasticsDataCompilation!$B$20:$E$36,MATCH(PlasticsUse!$A81,PlasticsDataCompilation!$A$20:$A$36,0),4)</f>
        <v>0.1659502597410176</v>
      </c>
      <c r="E81" s="144">
        <f>PlasticsUse!E37*INDEX(PlasticsDataCompilation!$B$20:$E$36,MATCH(PlasticsUse!$A81,PlasticsDataCompilation!$A$20:$A$36,0),4)</f>
        <v>0</v>
      </c>
      <c r="F81" s="144">
        <f>PlasticsUse!F37*INDEX(PlasticsDataCompilation!$B$20:$E$36,MATCH(PlasticsUse!$A81,PlasticsDataCompilation!$A$20:$A$36,0),4)</f>
        <v>0</v>
      </c>
      <c r="G81" s="144">
        <f>PlasticsUse!G37*INDEX(PlasticsDataCompilation!$B$20:$E$36,MATCH(PlasticsUse!$A81,PlasticsDataCompilation!$A$20:$A$36,0),4)</f>
        <v>0.55316753247005868</v>
      </c>
      <c r="H81" s="144">
        <f>PlasticsUse!H37*INDEX(PlasticsDataCompilation!$B$20:$E$36,MATCH(PlasticsUse!$A81,PlasticsDataCompilation!$A$20:$A$36,0),4)</f>
        <v>0.1659502597410176</v>
      </c>
      <c r="I81" s="144">
        <f>PlasticsUse!I37*INDEX(PlasticsDataCompilation!$B$20:$E$36,MATCH(PlasticsUse!$A81,PlasticsDataCompilation!$A$20:$A$36,0),4)</f>
        <v>0</v>
      </c>
      <c r="J81" s="144">
        <f>PlasticsUse!J37*INDEX(PlasticsDataCompilation!$B$20:$E$36,MATCH(PlasticsUse!$A81,PlasticsDataCompilation!$A$20:$A$36,0),4)</f>
        <v>0</v>
      </c>
      <c r="K81" s="144">
        <f>PlasticsUse!K37*INDEX(PlasticsDataCompilation!$B$20:$E$36,MATCH(PlasticsUse!$A81,PlasticsDataCompilation!$A$20:$A$36,0),4)</f>
        <v>7.0403140496189121E-2</v>
      </c>
      <c r="L81" s="144">
        <f>PlasticsUse!L37*INDEX(PlasticsDataCompilation!$B$20:$E$36,MATCH(PlasticsUse!$A81,PlasticsDataCompilation!$A$20:$A$36,0),4)</f>
        <v>0</v>
      </c>
      <c r="M81" s="30">
        <f t="shared" si="21"/>
        <v>1.0057591499455611</v>
      </c>
      <c r="N81" s="23">
        <f t="shared" si="22"/>
        <v>1.5714559043848195E-2</v>
      </c>
    </row>
    <row r="82" spans="1:14" x14ac:dyDescent="0.2">
      <c r="A82" t="str">
        <f t="shared" si="20"/>
        <v>Polyester fiber</v>
      </c>
      <c r="B82" s="144">
        <f>PlasticsUse!B38*INDEX(PlasticsDataCompilation!$B$20:$E$36,MATCH(PlasticsUse!$A82,PlasticsDataCompilation!$A$20:$A$36,0),4)</f>
        <v>0</v>
      </c>
      <c r="C82" s="144">
        <f>PlasticsUse!C38*INDEX(PlasticsDataCompilation!$B$20:$E$36,MATCH(PlasticsUse!$A82,PlasticsDataCompilation!$A$20:$A$36,0),4)</f>
        <v>0.25500000000000006</v>
      </c>
      <c r="D82" s="144">
        <f>PlasticsUse!D38*INDEX(PlasticsDataCompilation!$B$20:$E$36,MATCH(PlasticsUse!$A82,PlasticsDataCompilation!$A$20:$A$36,0),4)</f>
        <v>0</v>
      </c>
      <c r="E82" s="144">
        <f>PlasticsUse!E38*INDEX(PlasticsDataCompilation!$B$20:$E$36,MATCH(PlasticsUse!$A82,PlasticsDataCompilation!$A$20:$A$36,0),4)</f>
        <v>0.12750000000000003</v>
      </c>
      <c r="F82" s="144">
        <f>PlasticsUse!F38*INDEX(PlasticsDataCompilation!$B$20:$E$36,MATCH(PlasticsUse!$A82,PlasticsDataCompilation!$A$20:$A$36,0),4)</f>
        <v>0</v>
      </c>
      <c r="G82" s="144">
        <f>PlasticsUse!G38*INDEX(PlasticsDataCompilation!$B$20:$E$36,MATCH(PlasticsUse!$A82,PlasticsDataCompilation!$A$20:$A$36,0),4)</f>
        <v>0</v>
      </c>
      <c r="H82" s="144">
        <f>PlasticsUse!H38*INDEX(PlasticsDataCompilation!$B$20:$E$36,MATCH(PlasticsUse!$A82,PlasticsDataCompilation!$A$20:$A$36,0),4)</f>
        <v>0</v>
      </c>
      <c r="I82" s="144">
        <f>PlasticsUse!I38*INDEX(PlasticsDataCompilation!$B$20:$E$36,MATCH(PlasticsUse!$A82,PlasticsDataCompilation!$A$20:$A$36,0),4)</f>
        <v>0</v>
      </c>
      <c r="J82" s="144">
        <f>PlasticsUse!J38*INDEX(PlasticsDataCompilation!$B$20:$E$36,MATCH(PlasticsUse!$A82,PlasticsDataCompilation!$A$20:$A$36,0),4)</f>
        <v>0.8287500000000001</v>
      </c>
      <c r="K82" s="144">
        <f>PlasticsUse!K38*INDEX(PlasticsDataCompilation!$B$20:$E$36,MATCH(PlasticsUse!$A82,PlasticsDataCompilation!$A$20:$A$36,0),4)</f>
        <v>0</v>
      </c>
      <c r="L82" s="144">
        <f>PlasticsUse!L38*INDEX(PlasticsDataCompilation!$B$20:$E$36,MATCH(PlasticsUse!$A82,PlasticsDataCompilation!$A$20:$A$36,0),4)</f>
        <v>6.3750000000000015E-2</v>
      </c>
      <c r="M82" s="30">
        <f t="shared" si="21"/>
        <v>1.2750000000000001</v>
      </c>
      <c r="N82" s="23">
        <f t="shared" si="22"/>
        <v>1.9921332837977108E-2</v>
      </c>
    </row>
    <row r="83" spans="1:14" x14ac:dyDescent="0.2">
      <c r="A83" t="str">
        <f t="shared" si="20"/>
        <v>Polyamide nylon</v>
      </c>
      <c r="B83" s="144">
        <f>PlasticsUse!B39*INDEX(PlasticsDataCompilation!$B$20:$E$36,MATCH(PlasticsUse!$A83,PlasticsDataCompilation!$A$20:$A$36,0),4)</f>
        <v>0</v>
      </c>
      <c r="C83" s="144">
        <f>PlasticsUse!C39*INDEX(PlasticsDataCompilation!$B$20:$E$36,MATCH(PlasticsUse!$A83,PlasticsDataCompilation!$A$20:$A$36,0),4)</f>
        <v>0</v>
      </c>
      <c r="D83" s="144">
        <f>PlasticsUse!D39*INDEX(PlasticsDataCompilation!$B$20:$E$36,MATCH(PlasticsUse!$A83,PlasticsDataCompilation!$A$20:$A$36,0),4)</f>
        <v>0</v>
      </c>
      <c r="E83" s="144">
        <f>PlasticsUse!E39*INDEX(PlasticsDataCompilation!$B$20:$E$36,MATCH(PlasticsUse!$A83,PlasticsDataCompilation!$A$20:$A$36,0),4)</f>
        <v>0</v>
      </c>
      <c r="F83" s="144">
        <f>PlasticsUse!F39*INDEX(PlasticsDataCompilation!$B$20:$E$36,MATCH(PlasticsUse!$A83,PlasticsDataCompilation!$A$20:$A$36,0),4)</f>
        <v>0</v>
      </c>
      <c r="G83" s="144">
        <f>PlasticsUse!G39*INDEX(PlasticsDataCompilation!$B$20:$E$36,MATCH(PlasticsUse!$A83,PlasticsDataCompilation!$A$20:$A$36,0),4)</f>
        <v>0</v>
      </c>
      <c r="H83" s="144">
        <f>PlasticsUse!H39*INDEX(PlasticsDataCompilation!$B$20:$E$36,MATCH(PlasticsUse!$A83,PlasticsDataCompilation!$A$20:$A$36,0),4)</f>
        <v>0</v>
      </c>
      <c r="I83" s="144">
        <f>PlasticsUse!I39*INDEX(PlasticsDataCompilation!$B$20:$E$36,MATCH(PlasticsUse!$A83,PlasticsDataCompilation!$A$20:$A$36,0),4)</f>
        <v>0</v>
      </c>
      <c r="J83" s="144">
        <f>PlasticsUse!J39*INDEX(PlasticsDataCompilation!$B$20:$E$36,MATCH(PlasticsUse!$A83,PlasticsDataCompilation!$A$20:$A$36,0),4)</f>
        <v>0</v>
      </c>
      <c r="K83" s="144">
        <f>PlasticsUse!K39*INDEX(PlasticsDataCompilation!$B$20:$E$36,MATCH(PlasticsUse!$A83,PlasticsDataCompilation!$A$20:$A$36,0),4)</f>
        <v>0.70483072062519059</v>
      </c>
      <c r="L83" s="144">
        <f>PlasticsUse!L39*INDEX(PlasticsDataCompilation!$B$20:$E$36,MATCH(PlasticsUse!$A83,PlasticsDataCompilation!$A$20:$A$36,0),4)</f>
        <v>0</v>
      </c>
      <c r="M83" s="30">
        <f t="shared" si="21"/>
        <v>0.70483072062519059</v>
      </c>
      <c r="N83" s="23">
        <f t="shared" si="22"/>
        <v>1.1012680298043668E-2</v>
      </c>
    </row>
    <row r="84" spans="1:14" x14ac:dyDescent="0.2">
      <c r="A84" t="str">
        <f t="shared" si="20"/>
        <v>Polycarbonate</v>
      </c>
      <c r="B84" s="144">
        <f>PlasticsUse!B40*INDEX(PlasticsDataCompilation!$B$20:$E$36,MATCH(PlasticsUse!$A84,PlasticsDataCompilation!$A$20:$A$36,0),4)</f>
        <v>0.806759233070793</v>
      </c>
      <c r="C84" s="144">
        <f>PlasticsUse!C40*INDEX(PlasticsDataCompilation!$B$20:$E$36,MATCH(PlasticsUse!$A84,PlasticsDataCompilation!$A$20:$A$36,0),4)</f>
        <v>0</v>
      </c>
      <c r="D84" s="144">
        <f>PlasticsUse!D40*INDEX(PlasticsDataCompilation!$B$20:$E$36,MATCH(PlasticsUse!$A84,PlasticsDataCompilation!$A$20:$A$36,0),4)</f>
        <v>0.806759233070793</v>
      </c>
      <c r="E84" s="144">
        <f>PlasticsUse!E40*INDEX(PlasticsDataCompilation!$B$20:$E$36,MATCH(PlasticsUse!$A84,PlasticsDataCompilation!$A$20:$A$36,0),4)</f>
        <v>0</v>
      </c>
      <c r="F84" s="144">
        <f>PlasticsUse!F40*INDEX(PlasticsDataCompilation!$B$20:$E$36,MATCH(PlasticsUse!$A84,PlasticsDataCompilation!$A$20:$A$36,0),4)</f>
        <v>0.20168980826769825</v>
      </c>
      <c r="G84" s="144">
        <f>PlasticsUse!G40*INDEX(PlasticsDataCompilation!$B$20:$E$36,MATCH(PlasticsUse!$A84,PlasticsDataCompilation!$A$20:$A$36,0),4)</f>
        <v>1.0084490413384912</v>
      </c>
      <c r="H84" s="144">
        <f>PlasticsUse!H40*INDEX(PlasticsDataCompilation!$B$20:$E$36,MATCH(PlasticsUse!$A84,PlasticsDataCompilation!$A$20:$A$36,0),4)</f>
        <v>0.20168980826769825</v>
      </c>
      <c r="I84" s="144">
        <f>PlasticsUse!I40*INDEX(PlasticsDataCompilation!$B$20:$E$36,MATCH(PlasticsUse!$A84,PlasticsDataCompilation!$A$20:$A$36,0),4)</f>
        <v>0</v>
      </c>
      <c r="J84" s="144">
        <f>PlasticsUse!J40*INDEX(PlasticsDataCompilation!$B$20:$E$36,MATCH(PlasticsUse!$A84,PlasticsDataCompilation!$A$20:$A$36,0),4)</f>
        <v>0</v>
      </c>
      <c r="K84" s="144">
        <f>PlasticsUse!K40*INDEX(PlasticsDataCompilation!$B$20:$E$36,MATCH(PlasticsUse!$A84,PlasticsDataCompilation!$A$20:$A$36,0),4)</f>
        <v>1.0084490413384912</v>
      </c>
      <c r="L84" s="144">
        <f>PlasticsUse!L40*INDEX(PlasticsDataCompilation!$B$20:$E$36,MATCH(PlasticsUse!$A84,PlasticsDataCompilation!$A$20:$A$36,0),4)</f>
        <v>0</v>
      </c>
      <c r="M84" s="30">
        <f t="shared" si="21"/>
        <v>4.0337961653539649</v>
      </c>
      <c r="N84" s="23">
        <f t="shared" si="22"/>
        <v>6.3026349812213389E-2</v>
      </c>
    </row>
    <row r="85" spans="1:14" x14ac:dyDescent="0.2">
      <c r="A85" t="str">
        <f t="shared" si="20"/>
        <v>Styrene butadiene rubber</v>
      </c>
      <c r="B85" s="144">
        <f>PlasticsUse!B41*INDEX(PlasticsDataCompilation!$B$20:$E$36,MATCH(PlasticsUse!$A85,PlasticsDataCompilation!$A$20:$A$36,0),4)</f>
        <v>0</v>
      </c>
      <c r="C85" s="144">
        <f>PlasticsUse!C41*INDEX(PlasticsDataCompilation!$B$20:$E$36,MATCH(PlasticsUse!$A85,PlasticsDataCompilation!$A$20:$A$36,0),4)</f>
        <v>0</v>
      </c>
      <c r="D85" s="144">
        <f>PlasticsUse!D41*INDEX(PlasticsDataCompilation!$B$20:$E$36,MATCH(PlasticsUse!$A85,PlasticsDataCompilation!$A$20:$A$36,0),4)</f>
        <v>0.71733936607132809</v>
      </c>
      <c r="E85" s="144">
        <f>PlasticsUse!E41*INDEX(PlasticsDataCompilation!$B$20:$E$36,MATCH(PlasticsUse!$A85,PlasticsDataCompilation!$A$20:$A$36,0),4)</f>
        <v>0</v>
      </c>
      <c r="F85" s="144">
        <f>PlasticsUse!F41*INDEX(PlasticsDataCompilation!$B$20:$E$36,MATCH(PlasticsUse!$A85,PlasticsDataCompilation!$A$20:$A$36,0),4)</f>
        <v>0</v>
      </c>
      <c r="G85" s="144">
        <f>PlasticsUse!G41*INDEX(PlasticsDataCompilation!$B$20:$E$36,MATCH(PlasticsUse!$A85,PlasticsDataCompilation!$A$20:$A$36,0),4)</f>
        <v>0</v>
      </c>
      <c r="H85" s="144">
        <f>PlasticsUse!H41*INDEX(PlasticsDataCompilation!$B$20:$E$36,MATCH(PlasticsUse!$A85,PlasticsDataCompilation!$A$20:$A$36,0),4)</f>
        <v>0</v>
      </c>
      <c r="I85" s="144">
        <f>PlasticsUse!I41*INDEX(PlasticsDataCompilation!$B$20:$E$36,MATCH(PlasticsUse!$A85,PlasticsDataCompilation!$A$20:$A$36,0),4)</f>
        <v>6.229994494416001E-2</v>
      </c>
      <c r="J85" s="144">
        <f>PlasticsUse!J41*INDEX(PlasticsDataCompilation!$B$20:$E$36,MATCH(PlasticsUse!$A85,PlasticsDataCompilation!$A$20:$A$36,0),4)</f>
        <v>0.10679990561856</v>
      </c>
      <c r="K85" s="144">
        <f>PlasticsUse!K41*INDEX(PlasticsDataCompilation!$B$20:$E$36,MATCH(PlasticsUse!$A85,PlasticsDataCompilation!$A$20:$A$36,0),4)</f>
        <v>3.5599968539519046E-3</v>
      </c>
      <c r="L85" s="144">
        <f>PlasticsUse!L41*INDEX(PlasticsDataCompilation!$B$20:$E$36,MATCH(PlasticsUse!$A85,PlasticsDataCompilation!$A$20:$A$36,0),4)</f>
        <v>0</v>
      </c>
      <c r="M85" s="30">
        <f t="shared" si="21"/>
        <v>0.88999921348800004</v>
      </c>
      <c r="N85" s="23">
        <f t="shared" si="22"/>
        <v>1.3905859260731211E-2</v>
      </c>
    </row>
    <row r="86" spans="1:14" x14ac:dyDescent="0.2">
      <c r="A86" t="str">
        <f t="shared" si="20"/>
        <v>Other resins</v>
      </c>
      <c r="B86" s="144">
        <f>PlasticsUse!B42*INDEX(PlasticsDataCompilation!$B$20:$E$36,MATCH(PlasticsUse!$A86,PlasticsDataCompilation!$A$20:$A$36,0),4)</f>
        <v>0</v>
      </c>
      <c r="C86" s="144">
        <f>PlasticsUse!C42*INDEX(PlasticsDataCompilation!$B$20:$E$36,MATCH(PlasticsUse!$A86,PlasticsDataCompilation!$A$20:$A$36,0),4)</f>
        <v>0</v>
      </c>
      <c r="D86" s="144">
        <f>PlasticsUse!D42*INDEX(PlasticsDataCompilation!$B$20:$E$36,MATCH(PlasticsUse!$A86,PlasticsDataCompilation!$A$20:$A$36,0),4)</f>
        <v>0</v>
      </c>
      <c r="E86" s="144">
        <f>PlasticsUse!E42*INDEX(PlasticsDataCompilation!$B$20:$E$36,MATCH(PlasticsUse!$A86,PlasticsDataCompilation!$A$20:$A$36,0),4)</f>
        <v>0</v>
      </c>
      <c r="F86" s="144">
        <f>PlasticsUse!F42*INDEX(PlasticsDataCompilation!$B$20:$E$36,MATCH(PlasticsUse!$A86,PlasticsDataCompilation!$A$20:$A$36,0),4)</f>
        <v>0</v>
      </c>
      <c r="G86" s="144">
        <f>PlasticsUse!G42*INDEX(PlasticsDataCompilation!$B$20:$E$36,MATCH(PlasticsUse!$A86,PlasticsDataCompilation!$A$20:$A$36,0),4)</f>
        <v>0</v>
      </c>
      <c r="H86" s="144">
        <f>PlasticsUse!H42*INDEX(PlasticsDataCompilation!$B$20:$E$36,MATCH(PlasticsUse!$A86,PlasticsDataCompilation!$A$20:$A$36,0),4)</f>
        <v>0</v>
      </c>
      <c r="I86" s="144">
        <f>PlasticsUse!I42*INDEX(PlasticsDataCompilation!$B$20:$E$36,MATCH(PlasticsUse!$A86,PlasticsDataCompilation!$A$20:$A$36,0),4)</f>
        <v>0</v>
      </c>
      <c r="J86" s="144">
        <f>PlasticsUse!J42*INDEX(PlasticsDataCompilation!$B$20:$E$36,MATCH(PlasticsUse!$A86,PlasticsDataCompilation!$A$20:$A$36,0),4)</f>
        <v>0</v>
      </c>
      <c r="K86" s="144">
        <f>PlasticsUse!K42*INDEX(PlasticsDataCompilation!$B$20:$E$36,MATCH(PlasticsUse!$A86,PlasticsDataCompilation!$A$20:$A$36,0),4)</f>
        <v>2.2635924861555377</v>
      </c>
      <c r="L86" s="144">
        <f>PlasticsUse!L42*INDEX(PlasticsDataCompilation!$B$20:$E$36,MATCH(PlasticsUse!$A86,PlasticsDataCompilation!$A$20:$A$36,0),4)</f>
        <v>0</v>
      </c>
      <c r="M86" s="30">
        <f t="shared" si="21"/>
        <v>2.2635924861555377</v>
      </c>
      <c r="N86" s="23">
        <f t="shared" si="22"/>
        <v>3.5367670059802785E-2</v>
      </c>
    </row>
    <row r="87" spans="1:14" x14ac:dyDescent="0.2">
      <c r="A87" t="str">
        <f t="shared" si="20"/>
        <v>Copolymers</v>
      </c>
      <c r="B87" s="144">
        <f>PlasticsUse!B43*INDEX(PlasticsDataCompilation!$B$20:$E$36,MATCH(PlasticsUse!$A87,PlasticsDataCompilation!$A$20:$A$36,0),4)</f>
        <v>0</v>
      </c>
      <c r="C87" s="144">
        <f>PlasticsUse!C43*INDEX(PlasticsDataCompilation!$B$20:$E$36,MATCH(PlasticsUse!$A87,PlasticsDataCompilation!$A$20:$A$36,0),4)</f>
        <v>0</v>
      </c>
      <c r="D87" s="144">
        <f>PlasticsUse!D43*INDEX(PlasticsDataCompilation!$B$20:$E$36,MATCH(PlasticsUse!$A87,PlasticsDataCompilation!$A$20:$A$36,0),4)</f>
        <v>0</v>
      </c>
      <c r="E87" s="144">
        <f>PlasticsUse!E43*INDEX(PlasticsDataCompilation!$B$20:$E$36,MATCH(PlasticsUse!$A87,PlasticsDataCompilation!$A$20:$A$36,0),4)</f>
        <v>0</v>
      </c>
      <c r="F87" s="144">
        <f>PlasticsUse!F43*INDEX(PlasticsDataCompilation!$B$20:$E$36,MATCH(PlasticsUse!$A87,PlasticsDataCompilation!$A$20:$A$36,0),4)</f>
        <v>0</v>
      </c>
      <c r="G87" s="144">
        <f>PlasticsUse!G43*INDEX(PlasticsDataCompilation!$B$20:$E$36,MATCH(PlasticsUse!$A87,PlasticsDataCompilation!$A$20:$A$36,0),4)</f>
        <v>0</v>
      </c>
      <c r="H87" s="144">
        <f>PlasticsUse!H43*INDEX(PlasticsDataCompilation!$B$20:$E$36,MATCH(PlasticsUse!$A87,PlasticsDataCompilation!$A$20:$A$36,0),4)</f>
        <v>0</v>
      </c>
      <c r="I87" s="144">
        <f>PlasticsUse!I43*INDEX(PlasticsDataCompilation!$B$20:$E$36,MATCH(PlasticsUse!$A87,PlasticsDataCompilation!$A$20:$A$36,0),4)</f>
        <v>0</v>
      </c>
      <c r="J87" s="144">
        <f>PlasticsUse!J43*INDEX(PlasticsDataCompilation!$B$20:$E$36,MATCH(PlasticsUse!$A87,PlasticsDataCompilation!$A$20:$A$36,0),4)</f>
        <v>0</v>
      </c>
      <c r="K87" s="144">
        <f>PlasticsUse!K43*INDEX(PlasticsDataCompilation!$B$20:$E$36,MATCH(PlasticsUse!$A87,PlasticsDataCompilation!$A$20:$A$36,0),4)</f>
        <v>0.98589352833803645</v>
      </c>
      <c r="L87" s="144">
        <f>PlasticsUse!L43*INDEX(PlasticsDataCompilation!$B$20:$E$36,MATCH(PlasticsUse!$A87,PlasticsDataCompilation!$A$20:$A$36,0),4)</f>
        <v>0</v>
      </c>
      <c r="M87" s="30">
        <f t="shared" si="21"/>
        <v>0.98589352833803645</v>
      </c>
      <c r="N87" s="23">
        <f t="shared" si="22"/>
        <v>1.5404167153591873E-2</v>
      </c>
    </row>
    <row r="88" spans="1:14" x14ac:dyDescent="0.2">
      <c r="A88" s="2" t="s">
        <v>93</v>
      </c>
      <c r="B88" s="31">
        <f>SUM(B71:B87)</f>
        <v>4.7578772082130243</v>
      </c>
      <c r="C88" s="31">
        <f t="shared" ref="C88:L88" si="23">SUM(C71:C87)</f>
        <v>4.1558300176449539</v>
      </c>
      <c r="D88" s="31">
        <f t="shared" si="23"/>
        <v>5.5908788765280919</v>
      </c>
      <c r="E88" s="31">
        <f t="shared" si="23"/>
        <v>4.0283300176449535</v>
      </c>
      <c r="F88" s="31">
        <f t="shared" si="23"/>
        <v>6.8277971096062036</v>
      </c>
      <c r="G88" s="31">
        <f t="shared" si="23"/>
        <v>5.4624465914535039</v>
      </c>
      <c r="H88" s="31">
        <f t="shared" si="23"/>
        <v>4.2684700856536688</v>
      </c>
      <c r="I88" s="31">
        <f t="shared" si="23"/>
        <v>3.9631299625891137</v>
      </c>
      <c r="J88" s="31">
        <f t="shared" si="23"/>
        <v>3.2112798630711947</v>
      </c>
      <c r="K88" s="31">
        <f t="shared" si="23"/>
        <v>11.88258532278196</v>
      </c>
      <c r="L88" s="31">
        <f t="shared" si="23"/>
        <v>3.9645800176449537</v>
      </c>
      <c r="M88" s="31">
        <f>SUM(M71:M87)</f>
        <v>58.113205072831612</v>
      </c>
      <c r="N88" s="23">
        <f>M88/$M$111</f>
        <v>0.90799411806862595</v>
      </c>
    </row>
    <row r="89" spans="1:14" x14ac:dyDescent="0.2">
      <c r="B89" s="23"/>
      <c r="C89" s="23"/>
      <c r="D89" s="23"/>
      <c r="E89" s="23"/>
      <c r="F89" s="23"/>
      <c r="G89" s="23"/>
      <c r="H89" s="23"/>
      <c r="I89" s="23"/>
      <c r="J89" s="23"/>
      <c r="K89" s="23"/>
      <c r="L89" s="23"/>
      <c r="M89" s="23"/>
    </row>
    <row r="90" spans="1:14" ht="19" x14ac:dyDescent="0.25">
      <c r="A90" s="12" t="s">
        <v>892</v>
      </c>
      <c r="B90" s="23"/>
      <c r="C90" s="23"/>
      <c r="D90" s="23"/>
      <c r="E90" s="23"/>
      <c r="F90" s="23"/>
      <c r="G90" s="23"/>
      <c r="H90" s="23"/>
      <c r="I90" s="23"/>
      <c r="J90" s="23"/>
      <c r="K90" s="23"/>
      <c r="L90" s="23"/>
      <c r="M90" s="23"/>
    </row>
    <row r="91" spans="1:14" x14ac:dyDescent="0.2">
      <c r="B91" s="23"/>
      <c r="C91" s="23"/>
      <c r="D91" s="23"/>
      <c r="E91" s="23"/>
      <c r="F91" s="23"/>
      <c r="G91" s="23"/>
      <c r="H91" s="23"/>
      <c r="I91" s="23"/>
      <c r="J91" s="23"/>
      <c r="K91" s="23"/>
      <c r="L91" s="23"/>
      <c r="M91" s="23"/>
    </row>
    <row r="92" spans="1:14" x14ac:dyDescent="0.2">
      <c r="B92" s="183" t="s">
        <v>109</v>
      </c>
      <c r="C92" s="183"/>
      <c r="D92" s="183"/>
      <c r="E92" s="183"/>
      <c r="F92" s="183"/>
      <c r="G92" s="183"/>
      <c r="H92" s="183"/>
      <c r="I92" s="183"/>
      <c r="J92" s="183"/>
      <c r="K92" s="183"/>
      <c r="L92" s="183"/>
    </row>
    <row r="93" spans="1:14" x14ac:dyDescent="0.2">
      <c r="A93" s="2" t="str">
        <f>PlasticsUse!A26</f>
        <v>Resin Type</v>
      </c>
      <c r="B93" s="2" t="str">
        <f>PlasticsUse!B26</f>
        <v>Building and Construction</v>
      </c>
      <c r="C93" s="2" t="str">
        <f>PlasticsUse!C26</f>
        <v>Furniture and Furnishings</v>
      </c>
      <c r="D93" s="2" t="str">
        <f>PlasticsUse!D26</f>
        <v>Transportation</v>
      </c>
      <c r="E93" s="2" t="str">
        <f>PlasticsUse!E26</f>
        <v>Industrial/Machinery</v>
      </c>
      <c r="F93" s="2" t="str">
        <f>PlasticsUse!F26</f>
        <v>Packaging</v>
      </c>
      <c r="G93" s="2" t="str">
        <f>PlasticsUse!G26</f>
        <v>Electrical/Electronic</v>
      </c>
      <c r="H93" s="2" t="str">
        <f>PlasticsUse!H26</f>
        <v>Consumer and Institutional</v>
      </c>
      <c r="I93" s="2" t="str">
        <f>PlasticsUse!I26</f>
        <v>Adhesives/Inks/Coatings</v>
      </c>
      <c r="J93" s="2" t="str">
        <f>PlasticsUse!J26</f>
        <v>Textiles, Fibers and Apparel</v>
      </c>
      <c r="K93" s="2" t="str">
        <f>PlasticsUse!K26</f>
        <v>Other End Use Markets</v>
      </c>
      <c r="L93" s="2" t="str">
        <f>PlasticsUse!L26</f>
        <v>Exports</v>
      </c>
      <c r="M93" s="2" t="str">
        <f>PlasticsUse!M26</f>
        <v>TOTAL</v>
      </c>
      <c r="N93" s="2" t="s">
        <v>84</v>
      </c>
    </row>
    <row r="94" spans="1:14" x14ac:dyDescent="0.2">
      <c r="A94" t="str">
        <f>PlasticsUse!A27</f>
        <v>Polyurethane</v>
      </c>
      <c r="B94" s="30">
        <f>PlasticsUse!B27*INDEX(PlasticsDataCompilation!$B$20:$E$36,MATCH(PlasticsUse!$A94,PlasticsDataCompilation!$A$20:$A$36,0),4)+IFERROR(INDEX('Imports - Products'!$B$24:$G$40,MATCH(PlasticsUse!$A94,'Imports - Products'!$A$24:$A$40,0),MATCH(PlasticsUse!B$93,'Imports - Products'!$B$23:$G$23,0))*10^-6,0)</f>
        <v>2.2757299574526351</v>
      </c>
      <c r="C94" s="30">
        <f>PlasticsUse!C27*INDEX(PlasticsDataCompilation!$B$20:$E$36,MATCH(PlasticsUse!$A94,PlasticsDataCompilation!$A$20:$A$36,0),4)+IFERROR(INDEX('Imports - Products'!$B$24:$G$40,MATCH(PlasticsUse!$A94,'Imports - Products'!$A$24:$A$40,0),MATCH(PlasticsUse!C$93,'Imports - Products'!$B$23:$G$23,0))*10^-6,0)</f>
        <v>2.5439073226674389</v>
      </c>
      <c r="D94" s="30">
        <f>PlasticsUse!D27*INDEX(PlasticsDataCompilation!$B$20:$E$36,MATCH(PlasticsUse!$A94,PlasticsDataCompilation!$A$20:$A$36,0),4)+IFERROR(INDEX('Imports - Products'!$B$24:$G$40,MATCH(PlasticsUse!$A94,'Imports - Products'!$A$24:$A$40,0),MATCH(PlasticsUse!D$93,'Imports - Products'!$B$23:$G$23,0))*10^-6,0)</f>
        <v>2.8329021568909853</v>
      </c>
      <c r="E94" s="30">
        <f>PlasticsUse!E27*INDEX(PlasticsDataCompilation!$B$20:$E$36,MATCH(PlasticsUse!$A94,PlasticsDataCompilation!$A$20:$A$36,0),4)+IFERROR(INDEX('Imports - Products'!$B$24:$G$40,MATCH(PlasticsUse!$A94,'Imports - Products'!$A$24:$A$40,0),MATCH(PlasticsUse!E$93,'Imports - Products'!$B$23:$G$23,0))*10^-6,0)</f>
        <v>2.2757299574526351</v>
      </c>
      <c r="F94" s="30">
        <f>PlasticsUse!F27*INDEX(PlasticsDataCompilation!$B$20:$E$36,MATCH(PlasticsUse!$A94,PlasticsDataCompilation!$A$20:$A$36,0),4)+IFERROR(INDEX('Imports - Products'!$B$24:$G$40,MATCH(PlasticsUse!$A94,'Imports - Products'!$A$24:$A$40,0),MATCH(PlasticsUse!F$93,'Imports - Products'!$B$23:$G$23,0))*10^-6,0)</f>
        <v>2.7110371112747322</v>
      </c>
      <c r="G94" s="30">
        <f>PlasticsUse!G27*INDEX(PlasticsDataCompilation!$B$20:$E$36,MATCH(PlasticsUse!$A94,PlasticsDataCompilation!$A$20:$A$36,0),4)+IFERROR(INDEX('Imports - Products'!$B$24:$G$40,MATCH(PlasticsUse!$A94,'Imports - Products'!$A$24:$A$40,0),MATCH(PlasticsUse!G$93,'Imports - Products'!$B$23:$G$23,0))*10^-6,0)</f>
        <v>2.9872421541313874</v>
      </c>
      <c r="H94" s="30">
        <f>PlasticsUse!H27*INDEX(PlasticsDataCompilation!$B$20:$E$36,MATCH(PlasticsUse!$A94,PlasticsDataCompilation!$A$20:$A$36,0),4)+IFERROR(INDEX('Imports - Products'!$B$24:$G$40,MATCH(PlasticsUse!$A94,'Imports - Products'!$A$24:$A$40,0),MATCH(PlasticsUse!H$93,'Imports - Products'!$B$23:$G$23,0))*10^-6,0)</f>
        <v>2.5426968845002418</v>
      </c>
      <c r="I94" s="30">
        <f>PlasticsUse!I27*INDEX(PlasticsDataCompilation!$B$20:$E$36,MATCH(PlasticsUse!$A94,PlasticsDataCompilation!$A$20:$A$36,0),4)+IFERROR(INDEX('Imports - Products'!$B$24:$G$40,MATCH(PlasticsUse!$A94,'Imports - Products'!$A$24:$A$40,0),MATCH(PlasticsUse!I$93,'Imports - Products'!$B$23:$G$23,0))*10^-6,0)</f>
        <v>2.2757299574526351</v>
      </c>
      <c r="J94" s="30">
        <f>PlasticsUse!J27*INDEX(PlasticsDataCompilation!$B$20:$E$36,MATCH(PlasticsUse!$A94,PlasticsDataCompilation!$A$20:$A$36,0),4)+IFERROR(INDEX('Imports - Products'!$B$24:$G$40,MATCH(PlasticsUse!$A94,'Imports - Products'!$A$24:$A$40,0),MATCH(PlasticsUse!J$93,'Imports - Products'!$B$23:$G$23,0))*10^-6,0)</f>
        <v>2.640945992534133</v>
      </c>
      <c r="K94" s="30">
        <f>PlasticsUse!K27*INDEX(PlasticsDataCompilation!$B$20:$E$36,MATCH(PlasticsUse!$A94,PlasticsDataCompilation!$A$20:$A$36,0),4)+IFERROR(INDEX('Imports - Products'!$B$24:$G$40,MATCH(PlasticsUse!$A94,'Imports - Products'!$A$24:$A$40,0),MATCH(PlasticsUse!K$93,'Imports - Products'!$B$23:$G$23,0))*10^-6,0)</f>
        <v>2.2757299574526351</v>
      </c>
      <c r="L94" s="30">
        <f>PlasticsUse!L27*INDEX(PlasticsDataCompilation!$B$20:$E$36,MATCH(PlasticsUse!$A94,PlasticsDataCompilation!$A$20:$A$36,0),4)</f>
        <v>2.2757299574526351</v>
      </c>
      <c r="M94" s="30">
        <f t="shared" ref="M94:M110" si="24">SUM(B94:L94)</f>
        <v>27.637381409262098</v>
      </c>
      <c r="N94" s="23">
        <f t="shared" ref="N94:N108" si="25">M94/$M$111</f>
        <v>0.43182233241100471</v>
      </c>
    </row>
    <row r="95" spans="1:14" x14ac:dyDescent="0.2">
      <c r="A95" t="s">
        <v>127</v>
      </c>
      <c r="B95" s="30">
        <f>PlasticsUse!B28*INDEX(PlasticsDataCompilation!$B$20:$E$36,MATCH(PlasticsUse!$A95,PlasticsDataCompilation!$A$20:$A$36,0),4)+IFERROR(INDEX('Imports - Products'!$B$24:$G$40,MATCH(PlasticsUse!$A95,'Imports - Products'!$A$24:$A$40,0),MATCH(PlasticsUse!B$93,'Imports - Products'!$B$23:$G$23,0))*10^-6,0)</f>
        <v>0</v>
      </c>
      <c r="C95" s="30">
        <f>PlasticsUse!C28*INDEX(PlasticsDataCompilation!$B$20:$E$36,MATCH(PlasticsUse!$A95,PlasticsDataCompilation!$A$20:$A$36,0),4)+IFERROR(INDEX('Imports - Products'!$B$24:$G$40,MATCH(PlasticsUse!$A95,'Imports - Products'!$A$24:$A$40,0),MATCH(PlasticsUse!C$93,'Imports - Products'!$B$23:$G$23,0))*10^-6,0)</f>
        <v>0</v>
      </c>
      <c r="D95" s="30">
        <f>PlasticsUse!D28*INDEX(PlasticsDataCompilation!$B$20:$E$36,MATCH(PlasticsUse!$A95,PlasticsDataCompilation!$A$20:$A$36,0),4)+IFERROR(INDEX('Imports - Products'!$B$24:$G$40,MATCH(PlasticsUse!$A95,'Imports - Products'!$A$24:$A$40,0),MATCH(PlasticsUse!D$93,'Imports - Products'!$B$23:$G$23,0))*10^-6,0)</f>
        <v>0</v>
      </c>
      <c r="E95" s="30">
        <f>PlasticsUse!E28*INDEX(PlasticsDataCompilation!$B$20:$E$36,MATCH(PlasticsUse!$A95,PlasticsDataCompilation!$A$20:$A$36,0),4)+IFERROR(INDEX('Imports - Products'!$B$24:$G$40,MATCH(PlasticsUse!$A95,'Imports - Products'!$A$24:$A$40,0),MATCH(PlasticsUse!E$93,'Imports - Products'!$B$23:$G$23,0))*10^-6,0)</f>
        <v>0</v>
      </c>
      <c r="F95" s="30">
        <f>PlasticsUse!F28*INDEX(PlasticsDataCompilation!$B$20:$E$36,MATCH(PlasticsUse!$A95,PlasticsDataCompilation!$A$20:$A$36,0),4)+IFERROR(INDEX('Imports - Products'!$B$24:$G$40,MATCH(PlasticsUse!$A95,'Imports - Products'!$A$24:$A$40,0),MATCH(PlasticsUse!F$93,'Imports - Products'!$B$23:$G$23,0))*10^-6,0)</f>
        <v>0</v>
      </c>
      <c r="G95" s="30">
        <f>PlasticsUse!G28*INDEX(PlasticsDataCompilation!$B$20:$E$36,MATCH(PlasticsUse!$A95,PlasticsDataCompilation!$A$20:$A$36,0),4)+IFERROR(INDEX('Imports - Products'!$B$24:$G$40,MATCH(PlasticsUse!$A95,'Imports - Products'!$A$24:$A$40,0),MATCH(PlasticsUse!G$93,'Imports - Products'!$B$23:$G$23,0))*10^-6,0)</f>
        <v>0</v>
      </c>
      <c r="H95" s="30">
        <f>PlasticsUse!H28*INDEX(PlasticsDataCompilation!$B$20:$E$36,MATCH(PlasticsUse!$A95,PlasticsDataCompilation!$A$20:$A$36,0),4)+IFERROR(INDEX('Imports - Products'!$B$24:$G$40,MATCH(PlasticsUse!$A95,'Imports - Products'!$A$24:$A$40,0),MATCH(PlasticsUse!H$93,'Imports - Products'!$B$23:$G$23,0))*10^-6,0)</f>
        <v>0</v>
      </c>
      <c r="I95" s="30">
        <f>PlasticsUse!I28*INDEX(PlasticsDataCompilation!$B$20:$E$36,MATCH(PlasticsUse!$A95,PlasticsDataCompilation!$A$20:$A$36,0),4)+IFERROR(INDEX('Imports - Products'!$B$24:$G$40,MATCH(PlasticsUse!$A95,'Imports - Products'!$A$24:$A$40,0),MATCH(PlasticsUse!I$93,'Imports - Products'!$B$23:$G$23,0))*10^-6,0)</f>
        <v>0</v>
      </c>
      <c r="J95" s="30">
        <f>PlasticsUse!J28*INDEX(PlasticsDataCompilation!$B$20:$E$36,MATCH(PlasticsUse!$A95,PlasticsDataCompilation!$A$20:$A$36,0),4)+IFERROR(INDEX('Imports - Products'!$B$24:$G$40,MATCH(PlasticsUse!$A95,'Imports - Products'!$A$24:$A$40,0),MATCH(PlasticsUse!J$93,'Imports - Products'!$B$23:$G$23,0))*10^-6,0)</f>
        <v>0</v>
      </c>
      <c r="K95" s="30">
        <f>PlasticsUse!K28*INDEX(PlasticsDataCompilation!$B$20:$E$36,MATCH(PlasticsUse!$A95,PlasticsDataCompilation!$A$20:$A$36,0),4)+IFERROR(INDEX('Imports - Products'!$B$24:$G$40,MATCH(PlasticsUse!$A95,'Imports - Products'!$A$24:$A$40,0),MATCH(PlasticsUse!K$93,'Imports - Products'!$B$23:$G$23,0))*10^-6,0)</f>
        <v>2.26796</v>
      </c>
      <c r="L95" s="30">
        <f>PlasticsUse!L28*INDEX(PlasticsDataCompilation!$B$20:$E$36,MATCH(PlasticsUse!$A95,PlasticsDataCompilation!$A$20:$A$36,0),4)</f>
        <v>0</v>
      </c>
      <c r="M95" s="30">
        <f t="shared" si="24"/>
        <v>2.26796</v>
      </c>
      <c r="N95" s="23">
        <f t="shared" si="25"/>
        <v>3.5435910606445929E-2</v>
      </c>
    </row>
    <row r="96" spans="1:14" x14ac:dyDescent="0.2">
      <c r="A96" t="str">
        <f>PlasticsUse!A29</f>
        <v>LDPE</v>
      </c>
      <c r="B96" s="30">
        <f>PlasticsUse!B29*INDEX(PlasticsDataCompilation!$B$20:$E$36,MATCH(PlasticsUse!$A96,PlasticsDataCompilation!$A$20:$A$36,0),4)+IFERROR(INDEX('Imports - Products'!$B$24:$G$40,MATCH(PlasticsUse!$A96,'Imports - Products'!$A$24:$A$40,0),MATCH(PlasticsUse!B$93,'Imports - Products'!$B$23:$G$23,0))*10^-6,0)</f>
        <v>0.24274729590067587</v>
      </c>
      <c r="C96" s="30">
        <f>PlasticsUse!C29*INDEX(PlasticsDataCompilation!$B$20:$E$36,MATCH(PlasticsUse!$A96,PlasticsDataCompilation!$A$20:$A$36,0),4)+IFERROR(INDEX('Imports - Products'!$B$24:$G$40,MATCH(PlasticsUse!$A96,'Imports - Products'!$A$24:$A$40,0),MATCH(PlasticsUse!C$93,'Imports - Products'!$B$23:$G$23,0))*10^-6,0)</f>
        <v>0.27135320760582887</v>
      </c>
      <c r="D96" s="30">
        <f>PlasticsUse!D29*INDEX(PlasticsDataCompilation!$B$20:$E$36,MATCH(PlasticsUse!$A96,PlasticsDataCompilation!$A$20:$A$36,0),4)+IFERROR(INDEX('Imports - Products'!$B$24:$G$40,MATCH(PlasticsUse!$A96,'Imports - Products'!$A$24:$A$40,0),MATCH(PlasticsUse!D$93,'Imports - Products'!$B$23:$G$23,0))*10^-6,0)</f>
        <v>0.30217967465095941</v>
      </c>
      <c r="E96" s="30">
        <f>PlasticsUse!E29*INDEX(PlasticsDataCompilation!$B$20:$E$36,MATCH(PlasticsUse!$A96,PlasticsDataCompilation!$A$20:$A$36,0),4)+IFERROR(INDEX('Imports - Products'!$B$24:$G$40,MATCH(PlasticsUse!$A96,'Imports - Products'!$A$24:$A$40,0),MATCH(PlasticsUse!E$93,'Imports - Products'!$B$23:$G$23,0))*10^-6,0)</f>
        <v>0.24274729590067587</v>
      </c>
      <c r="F96" s="30">
        <f>PlasticsUse!F29*INDEX(PlasticsDataCompilation!$B$20:$E$36,MATCH(PlasticsUse!$A96,PlasticsDataCompilation!$A$20:$A$36,0),4)+IFERROR(INDEX('Imports - Products'!$B$24:$G$40,MATCH(PlasticsUse!$A96,'Imports - Products'!$A$24:$A$40,0),MATCH(PlasticsUse!F$93,'Imports - Products'!$B$23:$G$23,0))*10^-6,0)</f>
        <v>0.28918058827373766</v>
      </c>
      <c r="G96" s="30">
        <f>PlasticsUse!G29*INDEX(PlasticsDataCompilation!$B$20:$E$36,MATCH(PlasticsUse!$A96,PlasticsDataCompilation!$A$20:$A$36,0),4)+IFERROR(INDEX('Imports - Products'!$B$24:$G$40,MATCH(PlasticsUse!$A96,'Imports - Products'!$A$24:$A$40,0),MATCH(PlasticsUse!G$93,'Imports - Products'!$B$23:$G$23,0))*10^-6,0)</f>
        <v>0.31864279535503576</v>
      </c>
      <c r="H96" s="30">
        <f>PlasticsUse!H29*INDEX(PlasticsDataCompilation!$B$20:$E$36,MATCH(PlasticsUse!$A96,PlasticsDataCompilation!$A$20:$A$36,0),4)+IFERROR(INDEX('Imports - Products'!$B$24:$G$40,MATCH(PlasticsUse!$A96,'Imports - Products'!$A$24:$A$40,0),MATCH(PlasticsUse!H$93,'Imports - Products'!$B$23:$G$23,0))*10^-6,0)</f>
        <v>0.27122409272953174</v>
      </c>
      <c r="I96" s="30">
        <f>PlasticsUse!I29*INDEX(PlasticsDataCompilation!$B$20:$E$36,MATCH(PlasticsUse!$A96,PlasticsDataCompilation!$A$20:$A$36,0),4)+IFERROR(INDEX('Imports - Products'!$B$24:$G$40,MATCH(PlasticsUse!$A96,'Imports - Products'!$A$24:$A$40,0),MATCH(PlasticsUse!I$93,'Imports - Products'!$B$23:$G$23,0))*10^-6,0)</f>
        <v>0.24274729590067587</v>
      </c>
      <c r="J96" s="30">
        <f>PlasticsUse!J29*INDEX(PlasticsDataCompilation!$B$20:$E$36,MATCH(PlasticsUse!$A96,PlasticsDataCompilation!$A$20:$A$36,0),4)+IFERROR(INDEX('Imports - Products'!$B$24:$G$40,MATCH(PlasticsUse!$A96,'Imports - Products'!$A$24:$A$40,0),MATCH(PlasticsUse!J$93,'Imports - Products'!$B$23:$G$23,0))*10^-6,0)</f>
        <v>0</v>
      </c>
      <c r="K96" s="30">
        <f>PlasticsUse!K29*INDEX(PlasticsDataCompilation!$B$20:$E$36,MATCH(PlasticsUse!$A96,PlasticsDataCompilation!$A$20:$A$36,0),4)+IFERROR(INDEX('Imports - Products'!$B$24:$G$40,MATCH(PlasticsUse!$A96,'Imports - Products'!$A$24:$A$40,0),MATCH(PlasticsUse!K$93,'Imports - Products'!$B$23:$G$23,0))*10^-6,0)</f>
        <v>0.24274729590067587</v>
      </c>
      <c r="L96" s="30">
        <f>PlasticsUse!L29*INDEX(PlasticsDataCompilation!$B$20:$E$36,MATCH(PlasticsUse!$A96,PlasticsDataCompilation!$A$20:$A$36,0),4)</f>
        <v>0.24274729590067587</v>
      </c>
      <c r="M96" s="30">
        <f t="shared" si="24"/>
        <v>2.666316838118473</v>
      </c>
      <c r="N96" s="23">
        <f t="shared" si="25"/>
        <v>4.1660066810714373E-2</v>
      </c>
    </row>
    <row r="97" spans="1:14" x14ac:dyDescent="0.2">
      <c r="A97" t="str">
        <f>PlasticsUse!A30</f>
        <v>LLDPE</v>
      </c>
      <c r="B97" s="30">
        <f>PlasticsUse!B30*INDEX(PlasticsDataCompilation!$B$20:$E$36,MATCH(PlasticsUse!$A97,PlasticsDataCompilation!$A$20:$A$36,0),4)+IFERROR(INDEX('Imports - Products'!$B$24:$G$40,MATCH(PlasticsUse!$A97,'Imports - Products'!$A$24:$A$40,0),MATCH(PlasticsUse!B$93,'Imports - Products'!$B$23:$G$23,0))*10^-6,0)</f>
        <v>0.21063672995577348</v>
      </c>
      <c r="C97" s="30">
        <f>PlasticsUse!C30*INDEX(PlasticsDataCompilation!$B$20:$E$36,MATCH(PlasticsUse!$A97,PlasticsDataCompilation!$A$20:$A$36,0),4)+IFERROR(INDEX('Imports - Products'!$B$24:$G$40,MATCH(PlasticsUse!$A97,'Imports - Products'!$A$24:$A$40,0),MATCH(PlasticsUse!C$93,'Imports - Products'!$B$23:$G$23,0))*10^-6,0)</f>
        <v>0.23545865712336767</v>
      </c>
      <c r="D97" s="30">
        <f>PlasticsUse!D30*INDEX(PlasticsDataCompilation!$B$20:$E$36,MATCH(PlasticsUse!$A97,PlasticsDataCompilation!$A$20:$A$36,0),4)+IFERROR(INDEX('Imports - Products'!$B$24:$G$40,MATCH(PlasticsUse!$A97,'Imports - Products'!$A$24:$A$40,0),MATCH(PlasticsUse!D$93,'Imports - Products'!$B$23:$G$23,0))*10^-6,0)</f>
        <v>0.26220740499462103</v>
      </c>
      <c r="E97" s="30">
        <f>PlasticsUse!E30*INDEX(PlasticsDataCompilation!$B$20:$E$36,MATCH(PlasticsUse!$A97,PlasticsDataCompilation!$A$20:$A$36,0),4)+IFERROR(INDEX('Imports - Products'!$B$24:$G$40,MATCH(PlasticsUse!$A97,'Imports - Products'!$A$24:$A$40,0),MATCH(PlasticsUse!E$93,'Imports - Products'!$B$23:$G$23,0))*10^-6,0)</f>
        <v>0.21063672995577348</v>
      </c>
      <c r="F97" s="30">
        <f>PlasticsUse!F30*INDEX(PlasticsDataCompilation!$B$20:$E$36,MATCH(PlasticsUse!$A97,PlasticsDataCompilation!$A$20:$A$36,0),4)+IFERROR(INDEX('Imports - Products'!$B$24:$G$40,MATCH(PlasticsUse!$A97,'Imports - Products'!$A$24:$A$40,0),MATCH(PlasticsUse!F$93,'Imports - Products'!$B$23:$G$23,0))*10^-6,0)</f>
        <v>0.2509278352809754</v>
      </c>
      <c r="G97" s="30">
        <f>PlasticsUse!G30*INDEX(PlasticsDataCompilation!$B$20:$E$36,MATCH(PlasticsUse!$A97,PlasticsDataCompilation!$A$20:$A$36,0),4)+IFERROR(INDEX('Imports - Products'!$B$24:$G$40,MATCH(PlasticsUse!$A97,'Imports - Products'!$A$24:$A$40,0),MATCH(PlasticsUse!G$93,'Imports - Products'!$B$23:$G$23,0))*10^-6,0)</f>
        <v>0.27649278723588283</v>
      </c>
      <c r="H97" s="30">
        <f>PlasticsUse!H30*INDEX(PlasticsDataCompilation!$B$20:$E$36,MATCH(PlasticsUse!$A97,PlasticsDataCompilation!$A$20:$A$36,0),4)+IFERROR(INDEX('Imports - Products'!$B$24:$G$40,MATCH(PlasticsUse!$A97,'Imports - Products'!$A$24:$A$40,0),MATCH(PlasticsUse!H$93,'Imports - Products'!$B$23:$G$23,0))*10^-6,0)</f>
        <v>0.23534662153825039</v>
      </c>
      <c r="I97" s="30">
        <f>PlasticsUse!I30*INDEX(PlasticsDataCompilation!$B$20:$E$36,MATCH(PlasticsUse!$A97,PlasticsDataCompilation!$A$20:$A$36,0),4)+IFERROR(INDEX('Imports - Products'!$B$24:$G$40,MATCH(PlasticsUse!$A97,'Imports - Products'!$A$24:$A$40,0),MATCH(PlasticsUse!I$93,'Imports - Products'!$B$23:$G$23,0))*10^-6,0)</f>
        <v>0.21063672995577348</v>
      </c>
      <c r="J97" s="30">
        <f>PlasticsUse!J30*INDEX(PlasticsDataCompilation!$B$20:$E$36,MATCH(PlasticsUse!$A97,PlasticsDataCompilation!$A$20:$A$36,0),4)+IFERROR(INDEX('Imports - Products'!$B$24:$G$40,MATCH(PlasticsUse!$A97,'Imports - Products'!$A$24:$A$40,0),MATCH(PlasticsUse!J$93,'Imports - Products'!$B$23:$G$23,0))*10^-6,0)</f>
        <v>0</v>
      </c>
      <c r="K97" s="30">
        <f>PlasticsUse!K30*INDEX(PlasticsDataCompilation!$B$20:$E$36,MATCH(PlasticsUse!$A97,PlasticsDataCompilation!$A$20:$A$36,0),4)+IFERROR(INDEX('Imports - Products'!$B$24:$G$40,MATCH(PlasticsUse!$A97,'Imports - Products'!$A$24:$A$40,0),MATCH(PlasticsUse!K$93,'Imports - Products'!$B$23:$G$23,0))*10^-6,0)</f>
        <v>0.21063672995577348</v>
      </c>
      <c r="L97" s="30">
        <f>PlasticsUse!L30*INDEX(PlasticsDataCompilation!$B$20:$E$36,MATCH(PlasticsUse!$A97,PlasticsDataCompilation!$A$20:$A$36,0),4)</f>
        <v>0.21063672995577348</v>
      </c>
      <c r="M97" s="30">
        <f t="shared" si="24"/>
        <v>2.3136169559519648</v>
      </c>
      <c r="N97" s="23">
        <f t="shared" si="25"/>
        <v>3.6149281128710985E-2</v>
      </c>
    </row>
    <row r="98" spans="1:14" x14ac:dyDescent="0.2">
      <c r="A98" t="str">
        <f>PlasticsUse!A31</f>
        <v>HDPE</v>
      </c>
      <c r="B98" s="30">
        <f>PlasticsUse!B31*INDEX(PlasticsDataCompilation!$B$20:$E$36,MATCH(PlasticsUse!$A98,PlasticsDataCompilation!$A$20:$A$36,0),4)+IFERROR(INDEX('Imports - Products'!$B$24:$G$40,MATCH(PlasticsUse!$A98,'Imports - Products'!$A$24:$A$40,0),MATCH(PlasticsUse!B$93,'Imports - Products'!$B$23:$G$23,0))*10^-6,0)</f>
        <v>0.29456523123690448</v>
      </c>
      <c r="C98" s="30">
        <f>PlasticsUse!C31*INDEX(PlasticsDataCompilation!$B$20:$E$36,MATCH(PlasticsUse!$A98,PlasticsDataCompilation!$A$20:$A$36,0),4)+IFERROR(INDEX('Imports - Products'!$B$24:$G$40,MATCH(PlasticsUse!$A98,'Imports - Products'!$A$24:$A$40,0),MATCH(PlasticsUse!C$93,'Imports - Products'!$B$23:$G$23,0))*10^-6,0)</f>
        <v>0.32927749019289559</v>
      </c>
      <c r="D98" s="30">
        <f>PlasticsUse!D31*INDEX(PlasticsDataCompilation!$B$20:$E$36,MATCH(PlasticsUse!$A98,PlasticsDataCompilation!$A$20:$A$36,0),4)+IFERROR(INDEX('Imports - Products'!$B$24:$G$40,MATCH(PlasticsUse!$A98,'Imports - Products'!$A$24:$A$40,0),MATCH(PlasticsUse!D$93,'Imports - Products'!$B$23:$G$23,0))*10^-6,0)</f>
        <v>0.366684314271715</v>
      </c>
      <c r="E98" s="30">
        <f>PlasticsUse!E31*INDEX(PlasticsDataCompilation!$B$20:$E$36,MATCH(PlasticsUse!$A98,PlasticsDataCompilation!$A$20:$A$36,0),4)+IFERROR(INDEX('Imports - Products'!$B$24:$G$40,MATCH(PlasticsUse!$A98,'Imports - Products'!$A$24:$A$40,0),MATCH(PlasticsUse!E$93,'Imports - Products'!$B$23:$G$23,0))*10^-6,0)</f>
        <v>0.29456523123690448</v>
      </c>
      <c r="F98" s="30">
        <f>PlasticsUse!F31*INDEX(PlasticsDataCompilation!$B$20:$E$36,MATCH(PlasticsUse!$A98,PlasticsDataCompilation!$A$20:$A$36,0),4)+IFERROR(INDEX('Imports - Products'!$B$24:$G$40,MATCH(PlasticsUse!$A98,'Imports - Products'!$A$24:$A$40,0),MATCH(PlasticsUse!F$93,'Imports - Products'!$B$23:$G$23,0))*10^-6,0)</f>
        <v>0.35091038414257547</v>
      </c>
      <c r="G98" s="30">
        <f>PlasticsUse!G31*INDEX(PlasticsDataCompilation!$B$20:$E$36,MATCH(PlasticsUse!$A98,PlasticsDataCompilation!$A$20:$A$36,0),4)+IFERROR(INDEX('Imports - Products'!$B$24:$G$40,MATCH(PlasticsUse!$A98,'Imports - Products'!$A$24:$A$40,0),MATCH(PlasticsUse!G$93,'Imports - Products'!$B$23:$G$23,0))*10^-6,0)</f>
        <v>0.38666172715734221</v>
      </c>
      <c r="H98" s="30">
        <f>PlasticsUse!H31*INDEX(PlasticsDataCompilation!$B$20:$E$36,MATCH(PlasticsUse!$A98,PlasticsDataCompilation!$A$20:$A$36,0),4)+IFERROR(INDEX('Imports - Products'!$B$24:$G$40,MATCH(PlasticsUse!$A98,'Imports - Products'!$A$24:$A$40,0),MATCH(PlasticsUse!H$93,'Imports - Products'!$B$23:$G$23,0))*10^-6,0)</f>
        <v>0.32912081387132641</v>
      </c>
      <c r="I98" s="30">
        <f>PlasticsUse!I31*INDEX(PlasticsDataCompilation!$B$20:$E$36,MATCH(PlasticsUse!$A98,PlasticsDataCompilation!$A$20:$A$36,0),4)+IFERROR(INDEX('Imports - Products'!$B$24:$G$40,MATCH(PlasticsUse!$A98,'Imports - Products'!$A$24:$A$40,0),MATCH(PlasticsUse!I$93,'Imports - Products'!$B$23:$G$23,0))*10^-6,0)</f>
        <v>0.29456523123690448</v>
      </c>
      <c r="J98" s="30">
        <f>PlasticsUse!J31*INDEX(PlasticsDataCompilation!$B$20:$E$36,MATCH(PlasticsUse!$A98,PlasticsDataCompilation!$A$20:$A$36,0),4)+IFERROR(INDEX('Imports - Products'!$B$24:$G$40,MATCH(PlasticsUse!$A98,'Imports - Products'!$A$24:$A$40,0),MATCH(PlasticsUse!J$93,'Imports - Products'!$B$23:$G$23,0))*10^-6,0)</f>
        <v>0</v>
      </c>
      <c r="K98" s="30">
        <f>PlasticsUse!K31*INDEX(PlasticsDataCompilation!$B$20:$E$36,MATCH(PlasticsUse!$A98,PlasticsDataCompilation!$A$20:$A$36,0),4)+IFERROR(INDEX('Imports - Products'!$B$24:$G$40,MATCH(PlasticsUse!$A98,'Imports - Products'!$A$24:$A$40,0),MATCH(PlasticsUse!K$93,'Imports - Products'!$B$23:$G$23,0))*10^-6,0)</f>
        <v>0.29456523123690448</v>
      </c>
      <c r="L98" s="30">
        <f>PlasticsUse!L31*INDEX(PlasticsDataCompilation!$B$20:$E$36,MATCH(PlasticsUse!$A98,PlasticsDataCompilation!$A$20:$A$36,0),4)</f>
        <v>0.29456523123690448</v>
      </c>
      <c r="M98" s="30">
        <f t="shared" si="24"/>
        <v>3.235480885820377</v>
      </c>
      <c r="N98" s="23">
        <f t="shared" si="25"/>
        <v>5.0553013033208416E-2</v>
      </c>
    </row>
    <row r="99" spans="1:14" x14ac:dyDescent="0.2">
      <c r="A99" t="str">
        <f>PlasticsUse!A32</f>
        <v>PP</v>
      </c>
      <c r="B99" s="30">
        <f>PlasticsUse!B32*INDEX(PlasticsDataCompilation!$B$20:$E$36,MATCH(PlasticsUse!$A99,PlasticsDataCompilation!$A$20:$A$36,0),4)+IFERROR(INDEX('Imports - Products'!$B$24:$G$40,MATCH(PlasticsUse!$A99,'Imports - Products'!$A$24:$A$40,0),MATCH(PlasticsUse!B$93,'Imports - Products'!$B$23:$G$23,0))*10^-6,0)</f>
        <v>0.22658575439314271</v>
      </c>
      <c r="C99" s="30">
        <f>PlasticsUse!C32*INDEX(PlasticsDataCompilation!$B$20:$E$36,MATCH(PlasticsUse!$A99,PlasticsDataCompilation!$A$20:$A$36,0),4)+IFERROR(INDEX('Imports - Products'!$B$24:$G$40,MATCH(PlasticsUse!$A99,'Imports - Products'!$A$24:$A$40,0),MATCH(PlasticsUse!C$93,'Imports - Products'!$B$23:$G$23,0))*10^-6,0)</f>
        <v>0.25328715207407843</v>
      </c>
      <c r="D99" s="30">
        <f>PlasticsUse!D32*INDEX(PlasticsDataCompilation!$B$20:$E$36,MATCH(PlasticsUse!$A99,PlasticsDataCompilation!$A$20:$A$36,0),4)+IFERROR(INDEX('Imports - Products'!$B$24:$G$40,MATCH(PlasticsUse!$A99,'Imports - Products'!$A$24:$A$40,0),MATCH(PlasticsUse!D$93,'Imports - Products'!$B$23:$G$23,0))*10^-6,0)</f>
        <v>0.28206126576617996</v>
      </c>
      <c r="E99" s="30">
        <f>PlasticsUse!E32*INDEX(PlasticsDataCompilation!$B$20:$E$36,MATCH(PlasticsUse!$A99,PlasticsDataCompilation!$A$20:$A$36,0),4)+IFERROR(INDEX('Imports - Products'!$B$24:$G$40,MATCH(PlasticsUse!$A99,'Imports - Products'!$A$24:$A$40,0),MATCH(PlasticsUse!E$93,'Imports - Products'!$B$23:$G$23,0))*10^-6,0)</f>
        <v>0.22658575439314271</v>
      </c>
      <c r="F99" s="30">
        <f>PlasticsUse!F32*INDEX(PlasticsDataCompilation!$B$20:$E$36,MATCH(PlasticsUse!$A99,PlasticsDataCompilation!$A$20:$A$36,0),4)+IFERROR(INDEX('Imports - Products'!$B$24:$G$40,MATCH(PlasticsUse!$A99,'Imports - Products'!$A$24:$A$40,0),MATCH(PlasticsUse!F$93,'Imports - Products'!$B$23:$G$23,0))*10^-6,0)</f>
        <v>0.26992762785159086</v>
      </c>
      <c r="G99" s="30">
        <f>PlasticsUse!G32*INDEX(PlasticsDataCompilation!$B$20:$E$36,MATCH(PlasticsUse!$A99,PlasticsDataCompilation!$A$20:$A$36,0),4)+IFERROR(INDEX('Imports - Products'!$B$24:$G$40,MATCH(PlasticsUse!$A99,'Imports - Products'!$A$24:$A$40,0),MATCH(PlasticsUse!G$93,'Imports - Products'!$B$23:$G$23,0))*10^-6,0)</f>
        <v>0.29742831078539544</v>
      </c>
      <c r="H99" s="30">
        <f>PlasticsUse!H32*INDEX(PlasticsDataCompilation!$B$20:$E$36,MATCH(PlasticsUse!$A99,PlasticsDataCompilation!$A$20:$A$36,0),4)+IFERROR(INDEX('Imports - Products'!$B$24:$G$40,MATCH(PlasticsUse!$A99,'Imports - Products'!$A$24:$A$40,0),MATCH(PlasticsUse!H$93,'Imports - Products'!$B$23:$G$23,0))*10^-6,0)</f>
        <v>0.25316663336123091</v>
      </c>
      <c r="I99" s="30">
        <f>PlasticsUse!I32*INDEX(PlasticsDataCompilation!$B$20:$E$36,MATCH(PlasticsUse!$A99,PlasticsDataCompilation!$A$20:$A$36,0),4)+IFERROR(INDEX('Imports - Products'!$B$24:$G$40,MATCH(PlasticsUse!$A99,'Imports - Products'!$A$24:$A$40,0),MATCH(PlasticsUse!I$93,'Imports - Products'!$B$23:$G$23,0))*10^-6,0)</f>
        <v>0.22658575439314271</v>
      </c>
      <c r="J99" s="30">
        <f>PlasticsUse!J32*INDEX(PlasticsDataCompilation!$B$20:$E$36,MATCH(PlasticsUse!$A99,PlasticsDataCompilation!$A$20:$A$36,0),4)+IFERROR(INDEX('Imports - Products'!$B$24:$G$40,MATCH(PlasticsUse!$A99,'Imports - Products'!$A$24:$A$40,0),MATCH(PlasticsUse!J$93,'Imports - Products'!$B$23:$G$23,0))*10^-6,0)</f>
        <v>0</v>
      </c>
      <c r="K99" s="30">
        <f>PlasticsUse!K32*INDEX(PlasticsDataCompilation!$B$20:$E$36,MATCH(PlasticsUse!$A99,PlasticsDataCompilation!$A$20:$A$36,0),4)+IFERROR(INDEX('Imports - Products'!$B$24:$G$40,MATCH(PlasticsUse!$A99,'Imports - Products'!$A$24:$A$40,0),MATCH(PlasticsUse!K$93,'Imports - Products'!$B$23:$G$23,0))*10^-6,0)</f>
        <v>0.22658575439314271</v>
      </c>
      <c r="L99" s="30">
        <f>PlasticsUse!L32*INDEX(PlasticsDataCompilation!$B$20:$E$36,MATCH(PlasticsUse!$A99,PlasticsDataCompilation!$A$20:$A$36,0),4)</f>
        <v>0.22658575439314271</v>
      </c>
      <c r="M99" s="30">
        <f t="shared" si="24"/>
        <v>2.4887997618041893</v>
      </c>
      <c r="N99" s="23">
        <f t="shared" si="25"/>
        <v>3.8886437978023054E-2</v>
      </c>
    </row>
    <row r="100" spans="1:14" x14ac:dyDescent="0.2">
      <c r="A100" t="str">
        <f>PlasticsUse!A33</f>
        <v>PS</v>
      </c>
      <c r="B100" s="30">
        <f>PlasticsUse!B33*INDEX(PlasticsDataCompilation!$B$20:$E$36,MATCH(PlasticsUse!$A100,PlasticsDataCompilation!$A$20:$A$36,0),4)+IFERROR(INDEX('Imports - Products'!$B$24:$G$40,MATCH(PlasticsUse!$A100,'Imports - Products'!$A$24:$A$40,0),MATCH(PlasticsUse!B$93,'Imports - Products'!$B$23:$G$23,0))*10^-6,0)</f>
        <v>0.21138337581885186</v>
      </c>
      <c r="C100" s="30">
        <f>PlasticsUse!C33*INDEX(PlasticsDataCompilation!$B$20:$E$36,MATCH(PlasticsUse!$A100,PlasticsDataCompilation!$A$20:$A$36,0),4)+IFERROR(INDEX('Imports - Products'!$B$24:$G$40,MATCH(PlasticsUse!$A100,'Imports - Products'!$A$24:$A$40,0),MATCH(PlasticsUse!C$93,'Imports - Products'!$B$23:$G$23,0))*10^-6,0)</f>
        <v>0.23629328948926162</v>
      </c>
      <c r="D100" s="30">
        <f>PlasticsUse!D33*INDEX(PlasticsDataCompilation!$B$20:$E$36,MATCH(PlasticsUse!$A100,PlasticsDataCompilation!$A$20:$A$36,0),4)+IFERROR(INDEX('Imports - Products'!$B$24:$G$40,MATCH(PlasticsUse!$A100,'Imports - Products'!$A$24:$A$40,0),MATCH(PlasticsUse!D$93,'Imports - Products'!$B$23:$G$23,0))*10^-6,0)</f>
        <v>0.26313685388156899</v>
      </c>
      <c r="E100" s="30">
        <f>PlasticsUse!E33*INDEX(PlasticsDataCompilation!$B$20:$E$36,MATCH(PlasticsUse!$A100,PlasticsDataCompilation!$A$20:$A$36,0),4)+IFERROR(INDEX('Imports - Products'!$B$24:$G$40,MATCH(PlasticsUse!$A100,'Imports - Products'!$A$24:$A$40,0),MATCH(PlasticsUse!E$93,'Imports - Products'!$B$23:$G$23,0))*10^-6,0)</f>
        <v>0.21138337581885186</v>
      </c>
      <c r="F100" s="30">
        <f>PlasticsUse!F33*INDEX(PlasticsDataCompilation!$B$20:$E$36,MATCH(PlasticsUse!$A100,PlasticsDataCompilation!$A$20:$A$36,0),4)+IFERROR(INDEX('Imports - Products'!$B$24:$G$40,MATCH(PlasticsUse!$A100,'Imports - Products'!$A$24:$A$40,0),MATCH(PlasticsUse!F$93,'Imports - Products'!$B$23:$G$23,0))*10^-6,0)</f>
        <v>0.25181730137828473</v>
      </c>
      <c r="G100" s="30">
        <f>PlasticsUse!G33*INDEX(PlasticsDataCompilation!$B$20:$E$36,MATCH(PlasticsUse!$A100,PlasticsDataCompilation!$A$20:$A$36,0),4)+IFERROR(INDEX('Imports - Products'!$B$24:$G$40,MATCH(PlasticsUse!$A100,'Imports - Products'!$A$24:$A$40,0),MATCH(PlasticsUse!G$93,'Imports - Products'!$B$23:$G$23,0))*10^-6,0)</f>
        <v>0.27747287364248452</v>
      </c>
      <c r="H100" s="30">
        <f>PlasticsUse!H33*INDEX(PlasticsDataCompilation!$B$20:$E$36,MATCH(PlasticsUse!$A100,PlasticsDataCompilation!$A$20:$A$36,0),4)+IFERROR(INDEX('Imports - Products'!$B$24:$G$40,MATCH(PlasticsUse!$A100,'Imports - Products'!$A$24:$A$40,0),MATCH(PlasticsUse!H$93,'Imports - Products'!$B$23:$G$23,0))*10^-6,0)</f>
        <v>0.2361808567706237</v>
      </c>
      <c r="I100" s="30">
        <f>PlasticsUse!I33*INDEX(PlasticsDataCompilation!$B$20:$E$36,MATCH(PlasticsUse!$A100,PlasticsDataCompilation!$A$20:$A$36,0),4)+IFERROR(INDEX('Imports - Products'!$B$24:$G$40,MATCH(PlasticsUse!$A100,'Imports - Products'!$A$24:$A$40,0),MATCH(PlasticsUse!I$93,'Imports - Products'!$B$23:$G$23,0))*10^-6,0)</f>
        <v>0.21138337581885186</v>
      </c>
      <c r="J100" s="30">
        <f>PlasticsUse!J33*INDEX(PlasticsDataCompilation!$B$20:$E$36,MATCH(PlasticsUse!$A100,PlasticsDataCompilation!$A$20:$A$36,0),4)+IFERROR(INDEX('Imports - Products'!$B$24:$G$40,MATCH(PlasticsUse!$A100,'Imports - Products'!$A$24:$A$40,0),MATCH(PlasticsUse!J$93,'Imports - Products'!$B$23:$G$23,0))*10^-6,0)</f>
        <v>0</v>
      </c>
      <c r="K100" s="30">
        <f>PlasticsUse!K33*INDEX(PlasticsDataCompilation!$B$20:$E$36,MATCH(PlasticsUse!$A100,PlasticsDataCompilation!$A$20:$A$36,0),4)+IFERROR(INDEX('Imports - Products'!$B$24:$G$40,MATCH(PlasticsUse!$A100,'Imports - Products'!$A$24:$A$40,0),MATCH(PlasticsUse!K$93,'Imports - Products'!$B$23:$G$23,0))*10^-6,0)</f>
        <v>0.21138337581885186</v>
      </c>
      <c r="L100" s="30">
        <f>PlasticsUse!L33*INDEX(PlasticsDataCompilation!$B$20:$E$36,MATCH(PlasticsUse!$A100,PlasticsDataCompilation!$A$20:$A$36,0),4)</f>
        <v>0.21138337581885186</v>
      </c>
      <c r="M100" s="30">
        <f t="shared" si="24"/>
        <v>2.3218180542564828</v>
      </c>
      <c r="N100" s="23">
        <f t="shared" si="25"/>
        <v>3.6277419802406105E-2</v>
      </c>
    </row>
    <row r="101" spans="1:14" x14ac:dyDescent="0.2">
      <c r="A101" t="str">
        <f>PlasticsUse!A34</f>
        <v>EPS</v>
      </c>
      <c r="B101" s="30">
        <f>PlasticsUse!B34*INDEX(PlasticsDataCompilation!$B$20:$E$36,MATCH(PlasticsUse!$A101,PlasticsDataCompilation!$A$20:$A$36,0),4)+IFERROR(INDEX('Imports - Products'!$B$24:$G$40,MATCH(PlasticsUse!$A101,'Imports - Products'!$A$24:$A$40,0),MATCH(PlasticsUse!B$93,'Imports - Products'!$B$23:$G$23,0))*10^-6,0)</f>
        <v>0.21706715530500378</v>
      </c>
      <c r="C101" s="30">
        <f>PlasticsUse!C34*INDEX(PlasticsDataCompilation!$B$20:$E$36,MATCH(PlasticsUse!$A101,PlasticsDataCompilation!$A$20:$A$36,0),4)+IFERROR(INDEX('Imports - Products'!$B$24:$G$40,MATCH(PlasticsUse!$A101,'Imports - Products'!$A$24:$A$40,0),MATCH(PlasticsUse!C$93,'Imports - Products'!$B$23:$G$23,0))*10^-6,0)</f>
        <v>0.24264685890460372</v>
      </c>
      <c r="D101" s="30">
        <f>PlasticsUse!D34*INDEX(PlasticsDataCompilation!$B$20:$E$36,MATCH(PlasticsUse!$A101,PlasticsDataCompilation!$A$20:$A$36,0),4)+IFERROR(INDEX('Imports - Products'!$B$24:$G$40,MATCH(PlasticsUse!$A101,'Imports - Products'!$A$24:$A$40,0),MATCH(PlasticsUse!D$93,'Imports - Products'!$B$23:$G$23,0))*10^-6,0)</f>
        <v>0.27021220617144964</v>
      </c>
      <c r="E101" s="30">
        <f>PlasticsUse!E34*INDEX(PlasticsDataCompilation!$B$20:$E$36,MATCH(PlasticsUse!$A101,PlasticsDataCompilation!$A$20:$A$36,0),4)+IFERROR(INDEX('Imports - Products'!$B$24:$G$40,MATCH(PlasticsUse!$A101,'Imports - Products'!$A$24:$A$40,0),MATCH(PlasticsUse!E$93,'Imports - Products'!$B$23:$G$23,0))*10^-6,0)</f>
        <v>0.21706715530500378</v>
      </c>
      <c r="F101" s="30">
        <f>PlasticsUse!F34*INDEX(PlasticsDataCompilation!$B$20:$E$36,MATCH(PlasticsUse!$A101,PlasticsDataCompilation!$A$20:$A$36,0),4)+IFERROR(INDEX('Imports - Products'!$B$24:$G$40,MATCH(PlasticsUse!$A101,'Imports - Products'!$A$24:$A$40,0),MATCH(PlasticsUse!F$93,'Imports - Products'!$B$23:$G$23,0))*10^-6,0)</f>
        <v>0.25858828800997985</v>
      </c>
      <c r="G101" s="30">
        <f>PlasticsUse!G34*INDEX(PlasticsDataCompilation!$B$20:$E$36,MATCH(PlasticsUse!$A101,PlasticsDataCompilation!$A$20:$A$36,0),4)+IFERROR(INDEX('Imports - Products'!$B$24:$G$40,MATCH(PlasticsUse!$A101,'Imports - Products'!$A$24:$A$40,0),MATCH(PlasticsUse!G$93,'Imports - Products'!$B$23:$G$23,0))*10^-6,0)</f>
        <v>0.28493369983595151</v>
      </c>
      <c r="H101" s="30">
        <f>PlasticsUse!H34*INDEX(PlasticsDataCompilation!$B$20:$E$36,MATCH(PlasticsUse!$A101,PlasticsDataCompilation!$A$20:$A$36,0),4)+IFERROR(INDEX('Imports - Products'!$B$24:$G$40,MATCH(PlasticsUse!$A101,'Imports - Products'!$A$24:$A$40,0),MATCH(PlasticsUse!H$93,'Imports - Products'!$B$23:$G$23,0))*10^-6,0)</f>
        <v>0.24253140304009496</v>
      </c>
      <c r="I101" s="30">
        <f>PlasticsUse!I34*INDEX(PlasticsDataCompilation!$B$20:$E$36,MATCH(PlasticsUse!$A101,PlasticsDataCompilation!$A$20:$A$36,0),4)+IFERROR(INDEX('Imports - Products'!$B$24:$G$40,MATCH(PlasticsUse!$A101,'Imports - Products'!$A$24:$A$40,0),MATCH(PlasticsUse!I$93,'Imports - Products'!$B$23:$G$23,0))*10^-6,0)</f>
        <v>0.21706715530500378</v>
      </c>
      <c r="J101" s="30">
        <f>PlasticsUse!J34*INDEX(PlasticsDataCompilation!$B$20:$E$36,MATCH(PlasticsUse!$A101,PlasticsDataCompilation!$A$20:$A$36,0),4)+IFERROR(INDEX('Imports - Products'!$B$24:$G$40,MATCH(PlasticsUse!$A101,'Imports - Products'!$A$24:$A$40,0),MATCH(PlasticsUse!J$93,'Imports - Products'!$B$23:$G$23,0))*10^-6,0)</f>
        <v>0</v>
      </c>
      <c r="K101" s="30">
        <f>PlasticsUse!K34*INDEX(PlasticsDataCompilation!$B$20:$E$36,MATCH(PlasticsUse!$A101,PlasticsDataCompilation!$A$20:$A$36,0),4)+IFERROR(INDEX('Imports - Products'!$B$24:$G$40,MATCH(PlasticsUse!$A101,'Imports - Products'!$A$24:$A$40,0),MATCH(PlasticsUse!K$93,'Imports - Products'!$B$23:$G$23,0))*10^-6,0)</f>
        <v>0.21706715530500378</v>
      </c>
      <c r="L101" s="30">
        <f>PlasticsUse!L34*INDEX(PlasticsDataCompilation!$B$20:$E$36,MATCH(PlasticsUse!$A101,PlasticsDataCompilation!$A$20:$A$36,0),4)</f>
        <v>0.21706715530500378</v>
      </c>
      <c r="M101" s="30">
        <f t="shared" si="24"/>
        <v>2.3842482324870984</v>
      </c>
      <c r="N101" s="23">
        <f t="shared" si="25"/>
        <v>3.7252864790379689E-2</v>
      </c>
    </row>
    <row r="102" spans="1:14" x14ac:dyDescent="0.2">
      <c r="A102" t="str">
        <f>PlasticsUse!A35</f>
        <v>PVC</v>
      </c>
      <c r="B102" s="30">
        <f>PlasticsUse!B35*INDEX(PlasticsDataCompilation!$B$20:$E$36,MATCH(PlasticsUse!$A102,PlasticsDataCompilation!$A$20:$A$36,0),4)+IFERROR(INDEX('Imports - Products'!$B$24:$G$40,MATCH(PlasticsUse!$A102,'Imports - Products'!$A$24:$A$40,0),MATCH(PlasticsUse!B$93,'Imports - Products'!$B$23:$G$23,0))*10^-6,0)</f>
        <v>0.2221145175819659</v>
      </c>
      <c r="C102" s="30">
        <f>PlasticsUse!C35*INDEX(PlasticsDataCompilation!$B$20:$E$36,MATCH(PlasticsUse!$A102,PlasticsDataCompilation!$A$20:$A$36,0),4)+IFERROR(INDEX('Imports - Products'!$B$24:$G$40,MATCH(PlasticsUse!$A102,'Imports - Products'!$A$24:$A$40,0),MATCH(PlasticsUse!C$93,'Imports - Products'!$B$23:$G$23,0))*10^-6,0)</f>
        <v>0.24828901421150662</v>
      </c>
      <c r="D102" s="30">
        <f>PlasticsUse!D35*INDEX(PlasticsDataCompilation!$B$20:$E$36,MATCH(PlasticsUse!$A102,PlasticsDataCompilation!$A$20:$A$36,0),4)+IFERROR(INDEX('Imports - Products'!$B$24:$G$40,MATCH(PlasticsUse!$A102,'Imports - Products'!$A$24:$A$40,0),MATCH(PlasticsUse!D$93,'Imports - Products'!$B$23:$G$23,0))*10^-6,0)</f>
        <v>0.27649532576311753</v>
      </c>
      <c r="E102" s="30">
        <f>PlasticsUse!E35*INDEX(PlasticsDataCompilation!$B$20:$E$36,MATCH(PlasticsUse!$A102,PlasticsDataCompilation!$A$20:$A$36,0),4)+IFERROR(INDEX('Imports - Products'!$B$24:$G$40,MATCH(PlasticsUse!$A102,'Imports - Products'!$A$24:$A$40,0),MATCH(PlasticsUse!E$93,'Imports - Products'!$B$23:$G$23,0))*10^-6,0)</f>
        <v>0.2221145175819659</v>
      </c>
      <c r="F102" s="30">
        <f>PlasticsUse!F35*INDEX(PlasticsDataCompilation!$B$20:$E$36,MATCH(PlasticsUse!$A102,PlasticsDataCompilation!$A$20:$A$36,0),4)+IFERROR(INDEX('Imports - Products'!$B$24:$G$40,MATCH(PlasticsUse!$A102,'Imports - Products'!$A$24:$A$40,0),MATCH(PlasticsUse!F$93,'Imports - Products'!$B$23:$G$23,0))*10^-6,0)</f>
        <v>0.26460112200290636</v>
      </c>
      <c r="G102" s="30">
        <f>PlasticsUse!G35*INDEX(PlasticsDataCompilation!$B$20:$E$36,MATCH(PlasticsUse!$A102,PlasticsDataCompilation!$A$20:$A$36,0),4)+IFERROR(INDEX('Imports - Products'!$B$24:$G$40,MATCH(PlasticsUse!$A102,'Imports - Products'!$A$24:$A$40,0),MATCH(PlasticsUse!G$93,'Imports - Products'!$B$23:$G$23,0))*10^-6,0)</f>
        <v>0.29155913151844837</v>
      </c>
      <c r="H102" s="30">
        <f>PlasticsUse!H35*INDEX(PlasticsDataCompilation!$B$20:$E$36,MATCH(PlasticsUse!$A102,PlasticsDataCompilation!$A$20:$A$36,0),4)+IFERROR(INDEX('Imports - Products'!$B$24:$G$40,MATCH(PlasticsUse!$A102,'Imports - Products'!$A$24:$A$40,0),MATCH(PlasticsUse!H$93,'Imports - Products'!$B$23:$G$23,0))*10^-6,0)</f>
        <v>0.24817087370512125</v>
      </c>
      <c r="I102" s="30">
        <f>PlasticsUse!I35*INDEX(PlasticsDataCompilation!$B$20:$E$36,MATCH(PlasticsUse!$A102,PlasticsDataCompilation!$A$20:$A$36,0),4)+IFERROR(INDEX('Imports - Products'!$B$24:$G$40,MATCH(PlasticsUse!$A102,'Imports - Products'!$A$24:$A$40,0),MATCH(PlasticsUse!I$93,'Imports - Products'!$B$23:$G$23,0))*10^-6,0)</f>
        <v>0.2221145175819659</v>
      </c>
      <c r="J102" s="30">
        <f>PlasticsUse!J35*INDEX(PlasticsDataCompilation!$B$20:$E$36,MATCH(PlasticsUse!$A102,PlasticsDataCompilation!$A$20:$A$36,0),4)+IFERROR(INDEX('Imports - Products'!$B$24:$G$40,MATCH(PlasticsUse!$A102,'Imports - Products'!$A$24:$A$40,0),MATCH(PlasticsUse!J$93,'Imports - Products'!$B$23:$G$23,0))*10^-6,0)</f>
        <v>0</v>
      </c>
      <c r="K102" s="30">
        <f>PlasticsUse!K35*INDEX(PlasticsDataCompilation!$B$20:$E$36,MATCH(PlasticsUse!$A102,PlasticsDataCompilation!$A$20:$A$36,0),4)+IFERROR(INDEX('Imports - Products'!$B$24:$G$40,MATCH(PlasticsUse!$A102,'Imports - Products'!$A$24:$A$40,0),MATCH(PlasticsUse!K$93,'Imports - Products'!$B$23:$G$23,0))*10^-6,0)</f>
        <v>0.2221145175819659</v>
      </c>
      <c r="L102" s="30">
        <f>PlasticsUse!L35*INDEX(PlasticsDataCompilation!$B$20:$E$36,MATCH(PlasticsUse!$A102,PlasticsDataCompilation!$A$20:$A$36,0),4)</f>
        <v>0.2221145175819659</v>
      </c>
      <c r="M102" s="30">
        <f t="shared" si="24"/>
        <v>2.4396880551109295</v>
      </c>
      <c r="N102" s="23">
        <f t="shared" si="25"/>
        <v>3.8119088444472045E-2</v>
      </c>
    </row>
    <row r="103" spans="1:14" x14ac:dyDescent="0.2">
      <c r="A103" t="str">
        <f>PlasticsUse!A36</f>
        <v>PET</v>
      </c>
      <c r="B103" s="30">
        <f>PlasticsUse!B36*INDEX(PlasticsDataCompilation!$B$20:$E$36,MATCH(PlasticsUse!$A103,PlasticsDataCompilation!$A$20:$A$36,0),4)+IFERROR(INDEX('Imports - Products'!$B$24:$G$40,MATCH(PlasticsUse!$A103,'Imports - Products'!$A$24:$A$40,0),MATCH(PlasticsUse!B$93,'Imports - Products'!$B$23:$G$23,0))*10^-6,0)</f>
        <v>0</v>
      </c>
      <c r="C103" s="30">
        <f>PlasticsUse!C36*INDEX(PlasticsDataCompilation!$B$20:$E$36,MATCH(PlasticsUse!$A103,PlasticsDataCompilation!$A$20:$A$36,0),4)+IFERROR(INDEX('Imports - Products'!$B$24:$G$40,MATCH(PlasticsUse!$A103,'Imports - Products'!$A$24:$A$40,0),MATCH(PlasticsUse!C$93,'Imports - Products'!$B$23:$G$23,0))*10^-6,0)</f>
        <v>0</v>
      </c>
      <c r="D103" s="30">
        <f>PlasticsUse!D36*INDEX(PlasticsDataCompilation!$B$20:$E$36,MATCH(PlasticsUse!$A103,PlasticsDataCompilation!$A$20:$A$36,0),4)+IFERROR(INDEX('Imports - Products'!$B$24:$G$40,MATCH(PlasticsUse!$A103,'Imports - Products'!$A$24:$A$40,0),MATCH(PlasticsUse!D$93,'Imports - Products'!$B$23:$G$23,0))*10^-6,0)</f>
        <v>0</v>
      </c>
      <c r="E103" s="30">
        <f>PlasticsUse!E36*INDEX(PlasticsDataCompilation!$B$20:$E$36,MATCH(PlasticsUse!$A103,PlasticsDataCompilation!$A$20:$A$36,0),4)+IFERROR(INDEX('Imports - Products'!$B$24:$G$40,MATCH(PlasticsUse!$A103,'Imports - Products'!$A$24:$A$40,0),MATCH(PlasticsUse!E$93,'Imports - Products'!$B$23:$G$23,0))*10^-6,0)</f>
        <v>0</v>
      </c>
      <c r="F103" s="30">
        <f>PlasticsUse!F36*INDEX(PlasticsDataCompilation!$B$20:$E$36,MATCH(PlasticsUse!$A103,PlasticsDataCompilation!$A$20:$A$36,0),4)+IFERROR(INDEX('Imports - Products'!$B$24:$G$40,MATCH(PlasticsUse!$A103,'Imports - Products'!$A$24:$A$40,0),MATCH(PlasticsUse!F$93,'Imports - Products'!$B$23:$G$23,0))*10^-6,0)</f>
        <v>3.2465749419924261</v>
      </c>
      <c r="G103" s="30">
        <f>PlasticsUse!G36*INDEX(PlasticsDataCompilation!$B$20:$E$36,MATCH(PlasticsUse!$A103,PlasticsDataCompilation!$A$20:$A$36,0),4)+IFERROR(INDEX('Imports - Products'!$B$24:$G$40,MATCH(PlasticsUse!$A103,'Imports - Products'!$A$24:$A$40,0),MATCH(PlasticsUse!G$93,'Imports - Products'!$B$23:$G$23,0))*10^-6,0)</f>
        <v>0</v>
      </c>
      <c r="H103" s="30">
        <f>PlasticsUse!H36*INDEX(PlasticsDataCompilation!$B$20:$E$36,MATCH(PlasticsUse!$A103,PlasticsDataCompilation!$A$20:$A$36,0),4)+IFERROR(INDEX('Imports - Products'!$B$24:$G$40,MATCH(PlasticsUse!$A103,'Imports - Products'!$A$24:$A$40,0),MATCH(PlasticsUse!H$93,'Imports - Products'!$B$23:$G$23,0))*10^-6,0)</f>
        <v>0</v>
      </c>
      <c r="I103" s="30">
        <f>PlasticsUse!I36*INDEX(PlasticsDataCompilation!$B$20:$E$36,MATCH(PlasticsUse!$A103,PlasticsDataCompilation!$A$20:$A$36,0),4)+IFERROR(INDEX('Imports - Products'!$B$24:$G$40,MATCH(PlasticsUse!$A103,'Imports - Products'!$A$24:$A$40,0),MATCH(PlasticsUse!I$93,'Imports - Products'!$B$23:$G$23,0))*10^-6,0)</f>
        <v>0</v>
      </c>
      <c r="J103" s="30">
        <f>PlasticsUse!J36*INDEX(PlasticsDataCompilation!$B$20:$E$36,MATCH(PlasticsUse!$A103,PlasticsDataCompilation!$A$20:$A$36,0),4)+IFERROR(INDEX('Imports - Products'!$B$24:$G$40,MATCH(PlasticsUse!$A103,'Imports - Products'!$A$24:$A$40,0),MATCH(PlasticsUse!J$93,'Imports - Products'!$B$23:$G$23,0))*10^-6,0)</f>
        <v>0</v>
      </c>
      <c r="K103" s="30">
        <f>PlasticsUse!K36*INDEX(PlasticsDataCompilation!$B$20:$E$36,MATCH(PlasticsUse!$A103,PlasticsDataCompilation!$A$20:$A$36,0),4)+IFERROR(INDEX('Imports - Products'!$B$24:$G$40,MATCH(PlasticsUse!$A103,'Imports - Products'!$A$24:$A$40,0),MATCH(PlasticsUse!K$93,'Imports - Products'!$B$23:$G$23,0))*10^-6,0)</f>
        <v>0.67706639132960889</v>
      </c>
      <c r="L103" s="30">
        <f>PlasticsUse!L36*INDEX(PlasticsDataCompilation!$B$20:$E$36,MATCH(PlasticsUse!$A103,PlasticsDataCompilation!$A$20:$A$36,0),4)</f>
        <v>0</v>
      </c>
      <c r="M103" s="30">
        <f t="shared" si="24"/>
        <v>3.9236413333220348</v>
      </c>
      <c r="N103" s="23">
        <f t="shared" si="25"/>
        <v>6.1305227402315712E-2</v>
      </c>
    </row>
    <row r="104" spans="1:14" x14ac:dyDescent="0.2">
      <c r="A104" t="str">
        <f>PlasticsUse!A38</f>
        <v>Polyester fiber</v>
      </c>
      <c r="B104" s="30">
        <f>PlasticsUse!B37*INDEX(PlasticsDataCompilation!$B$20:$E$36,MATCH(PlasticsUse!$A104,PlasticsDataCompilation!$A$20:$A$36,0),4)+IFERROR(INDEX('Imports - Products'!$B$24:$G$40,MATCH(PlasticsUse!$A104,'Imports - Products'!$A$24:$A$40,0),MATCH(PlasticsUse!B$93,'Imports - Products'!$B$23:$G$23,0))*10^-6,0)</f>
        <v>6.3750000000000015E-2</v>
      </c>
      <c r="C104" s="30">
        <f>PlasticsUse!C37*INDEX(PlasticsDataCompilation!$B$20:$E$36,MATCH(PlasticsUse!$A104,PlasticsDataCompilation!$A$20:$A$36,0),4)+IFERROR(INDEX('Imports - Products'!$B$24:$G$40,MATCH(PlasticsUse!$A104,'Imports - Products'!$A$24:$A$40,0),MATCH(PlasticsUse!C$93,'Imports - Products'!$B$23:$G$23,0))*10^-6,0)</f>
        <v>3.0049799145028103E-2</v>
      </c>
      <c r="D104" s="30">
        <f>PlasticsUse!D37*INDEX(PlasticsDataCompilation!$B$20:$E$36,MATCH(PlasticsUse!$A104,PlasticsDataCompilation!$A$20:$A$36,0),4)+IFERROR(INDEX('Imports - Products'!$B$24:$G$40,MATCH(PlasticsUse!$A104,'Imports - Products'!$A$24:$A$40,0),MATCH(PlasticsUse!D$93,'Imports - Products'!$B$23:$G$23,0))*10^-6,0)</f>
        <v>0.21037500000000003</v>
      </c>
      <c r="E104" s="30">
        <f>PlasticsUse!E37*INDEX(PlasticsDataCompilation!$B$20:$E$36,MATCH(PlasticsUse!$A104,PlasticsDataCompilation!$A$20:$A$36,0),4)+IFERROR(INDEX('Imports - Products'!$B$24:$G$40,MATCH(PlasticsUse!$A104,'Imports - Products'!$A$24:$A$40,0),MATCH(PlasticsUse!E$93,'Imports - Products'!$B$23:$G$23,0))*10^-6,0)</f>
        <v>0</v>
      </c>
      <c r="F104" s="30">
        <f>PlasticsUse!F37*INDEX(PlasticsDataCompilation!$B$20:$E$36,MATCH(PlasticsUse!$A104,PlasticsDataCompilation!$A$20:$A$36,0),4)+IFERROR(INDEX('Imports - Products'!$B$24:$G$40,MATCH(PlasticsUse!$A104,'Imports - Products'!$A$24:$A$40,0),MATCH(PlasticsUse!F$93,'Imports - Products'!$B$23:$G$23,0))*10^-6,0)</f>
        <v>0</v>
      </c>
      <c r="G104" s="30">
        <f>PlasticsUse!G37*INDEX(PlasticsDataCompilation!$B$20:$E$36,MATCH(PlasticsUse!$A104,PlasticsDataCompilation!$A$20:$A$36,0),4)+IFERROR(INDEX('Imports - Products'!$B$24:$G$40,MATCH(PlasticsUse!$A104,'Imports - Products'!$A$24:$A$40,0),MATCH(PlasticsUse!G$93,'Imports - Products'!$B$23:$G$23,0))*10^-6,0)</f>
        <v>0.70125000000000015</v>
      </c>
      <c r="H104" s="30">
        <f>PlasticsUse!H37*INDEX(PlasticsDataCompilation!$B$20:$E$36,MATCH(PlasticsUse!$A104,PlasticsDataCompilation!$A$20:$A$36,0),4)+IFERROR(INDEX('Imports - Products'!$B$24:$G$40,MATCH(PlasticsUse!$A104,'Imports - Products'!$A$24:$A$40,0),MATCH(PlasticsUse!H$93,'Imports - Products'!$B$23:$G$23,0))*10^-6,0)</f>
        <v>0.21037500000000003</v>
      </c>
      <c r="I104" s="30">
        <f>PlasticsUse!I37*INDEX(PlasticsDataCompilation!$B$20:$E$36,MATCH(PlasticsUse!$A104,PlasticsDataCompilation!$A$20:$A$36,0),4)+IFERROR(INDEX('Imports - Products'!$B$24:$G$40,MATCH(PlasticsUse!$A104,'Imports - Products'!$A$24:$A$40,0),MATCH(PlasticsUse!I$93,'Imports - Products'!$B$23:$G$23,0))*10^-6,0)</f>
        <v>0</v>
      </c>
      <c r="J104" s="30">
        <f>PlasticsUse!J37*INDEX(PlasticsDataCompilation!$B$20:$E$36,MATCH(PlasticsUse!$A104,PlasticsDataCompilation!$A$20:$A$36,0),4)+IFERROR(INDEX('Imports - Products'!$B$24:$G$40,MATCH(PlasticsUse!$A104,'Imports - Products'!$A$24:$A$40,0),MATCH(PlasticsUse!J$93,'Imports - Products'!$B$23:$G$23,0))*10^-6,0)</f>
        <v>0.13300030967320553</v>
      </c>
      <c r="K104" s="30">
        <f>PlasticsUse!K37*INDEX(PlasticsDataCompilation!$B$20:$E$36,MATCH(PlasticsUse!$A104,PlasticsDataCompilation!$A$20:$A$36,0),4)+IFERROR(INDEX('Imports - Products'!$B$24:$G$40,MATCH(PlasticsUse!$A104,'Imports - Products'!$A$24:$A$40,0),MATCH(PlasticsUse!K$93,'Imports - Products'!$B$23:$G$23,0))*10^-6,0)</f>
        <v>8.9249999999999802E-2</v>
      </c>
      <c r="L104" s="30">
        <f>PlasticsUse!L37*INDEX(PlasticsDataCompilation!$B$20:$E$36,MATCH(PlasticsUse!$A104,PlasticsDataCompilation!$A$20:$A$36,0),4)</f>
        <v>0</v>
      </c>
      <c r="M104" s="30">
        <f t="shared" si="24"/>
        <v>1.4380501088182336</v>
      </c>
      <c r="N104" s="23">
        <f t="shared" si="25"/>
        <v>2.2468921455260572E-2</v>
      </c>
    </row>
    <row r="105" spans="1:14" x14ac:dyDescent="0.2">
      <c r="A105" t="str">
        <f>PlasticsUse!A37</f>
        <v>ABS</v>
      </c>
      <c r="B105" s="30">
        <f>PlasticsUse!B38*INDEX(PlasticsDataCompilation!$B$20:$E$36,MATCH(PlasticsUse!$A105,PlasticsDataCompilation!$A$20:$A$36,0),4)+IFERROR(INDEX('Imports - Products'!$B$24:$G$40,MATCH(PlasticsUse!$A105,'Imports - Products'!$A$24:$A$40,0),MATCH(PlasticsUse!B$93,'Imports - Products'!$B$23:$G$23,0))*10^-6,0)</f>
        <v>0</v>
      </c>
      <c r="C105" s="30">
        <f>PlasticsUse!C38*INDEX(PlasticsDataCompilation!$B$20:$E$36,MATCH(PlasticsUse!$A105,PlasticsDataCompilation!$A$20:$A$36,0),4)+IFERROR(INDEX('Imports - Products'!$B$24:$G$40,MATCH(PlasticsUse!$A105,'Imports - Products'!$A$24:$A$40,0),MATCH(PlasticsUse!C$93,'Imports - Products'!$B$23:$G$23,0))*10^-6,0)</f>
        <v>0.20115182998911224</v>
      </c>
      <c r="D105" s="30">
        <f>PlasticsUse!D38*INDEX(PlasticsDataCompilation!$B$20:$E$36,MATCH(PlasticsUse!$A105,PlasticsDataCompilation!$A$20:$A$36,0),4)+IFERROR(INDEX('Imports - Products'!$B$24:$G$40,MATCH(PlasticsUse!$A105,'Imports - Products'!$A$24:$A$40,0),MATCH(PlasticsUse!D$93,'Imports - Products'!$B$23:$G$23,0))*10^-6,0)</f>
        <v>4.0629983761679575E-2</v>
      </c>
      <c r="E105" s="30">
        <f>PlasticsUse!E38*INDEX(PlasticsDataCompilation!$B$20:$E$36,MATCH(PlasticsUse!$A105,PlasticsDataCompilation!$A$20:$A$36,0),4)+IFERROR(INDEX('Imports - Products'!$B$24:$G$40,MATCH(PlasticsUse!$A105,'Imports - Products'!$A$24:$A$40,0),MATCH(PlasticsUse!E$93,'Imports - Products'!$B$23:$G$23,0))*10^-6,0)</f>
        <v>0.10057591499455612</v>
      </c>
      <c r="F105" s="30">
        <f>PlasticsUse!F38*INDEX(PlasticsDataCompilation!$B$20:$E$36,MATCH(PlasticsUse!$A105,PlasticsDataCompilation!$A$20:$A$36,0),4)+IFERROR(INDEX('Imports - Products'!$B$24:$G$40,MATCH(PlasticsUse!$A105,'Imports - Products'!$A$24:$A$40,0),MATCH(PlasticsUse!F$93,'Imports - Products'!$B$23:$G$23,0))*10^-6,0)</f>
        <v>0</v>
      </c>
      <c r="G105" s="30">
        <f>PlasticsUse!G38*INDEX(PlasticsDataCompilation!$B$20:$E$36,MATCH(PlasticsUse!$A105,PlasticsDataCompilation!$A$20:$A$36,0),4)+IFERROR(INDEX('Imports - Products'!$B$24:$G$40,MATCH(PlasticsUse!$A105,'Imports - Products'!$A$24:$A$40,0),MATCH(PlasticsUse!G$93,'Imports - Products'!$B$23:$G$23,0))*10^-6,0)</f>
        <v>0.17294909919791226</v>
      </c>
      <c r="H105" s="30">
        <f>PlasticsUse!H38*INDEX(PlasticsDataCompilation!$B$20:$E$36,MATCH(PlasticsUse!$A105,PlasticsDataCompilation!$A$20:$A$36,0),4)+IFERROR(INDEX('Imports - Products'!$B$24:$G$40,MATCH(PlasticsUse!$A105,'Imports - Products'!$A$24:$A$40,0),MATCH(PlasticsUse!H$93,'Imports - Products'!$B$23:$G$23,0))*10^-6,0)</f>
        <v>1.9467701227347266E-2</v>
      </c>
      <c r="I105" s="30">
        <f>PlasticsUse!I38*INDEX(PlasticsDataCompilation!$B$20:$E$36,MATCH(PlasticsUse!$A105,PlasticsDataCompilation!$A$20:$A$36,0),4)+IFERROR(INDEX('Imports - Products'!$B$24:$G$40,MATCH(PlasticsUse!$A105,'Imports - Products'!$A$24:$A$40,0),MATCH(PlasticsUse!I$93,'Imports - Products'!$B$23:$G$23,0))*10^-6,0)</f>
        <v>0</v>
      </c>
      <c r="J105" s="30">
        <f>PlasticsUse!J38*INDEX(PlasticsDataCompilation!$B$20:$E$36,MATCH(PlasticsUse!$A105,PlasticsDataCompilation!$A$20:$A$36,0),4)+IFERROR(INDEX('Imports - Products'!$B$24:$G$40,MATCH(PlasticsUse!$A105,'Imports - Products'!$A$24:$A$40,0),MATCH(PlasticsUse!J$93,'Imports - Products'!$B$23:$G$23,0))*10^-6,0)</f>
        <v>0.65374344746461477</v>
      </c>
      <c r="K105" s="30">
        <f>PlasticsUse!K38*INDEX(PlasticsDataCompilation!$B$20:$E$36,MATCH(PlasticsUse!$A105,PlasticsDataCompilation!$A$20:$A$36,0),4)+IFERROR(INDEX('Imports - Products'!$B$24:$G$40,MATCH(PlasticsUse!$A105,'Imports - Products'!$A$24:$A$40,0),MATCH(PlasticsUse!K$93,'Imports - Products'!$B$23:$G$23,0))*10^-6,0)</f>
        <v>0</v>
      </c>
      <c r="L105" s="30">
        <f>PlasticsUse!L38*INDEX(PlasticsDataCompilation!$B$20:$E$36,MATCH(PlasticsUse!$A105,PlasticsDataCompilation!$A$20:$A$36,0),4)</f>
        <v>5.028795749727806E-2</v>
      </c>
      <c r="M105" s="30">
        <f t="shared" si="24"/>
        <v>1.2388059341325004</v>
      </c>
      <c r="N105" s="23">
        <f t="shared" si="25"/>
        <v>1.9355815949423281E-2</v>
      </c>
    </row>
    <row r="106" spans="1:14" x14ac:dyDescent="0.2">
      <c r="A106" t="str">
        <f>PlasticsUse!A39</f>
        <v>Polyamide nylon</v>
      </c>
      <c r="B106" s="30">
        <f>PlasticsUse!B39*INDEX(PlasticsDataCompilation!$B$20:$E$36,MATCH(PlasticsUse!$A106,PlasticsDataCompilation!$A$20:$A$36,0),4)+IFERROR(INDEX('Imports - Products'!$B$24:$G$40,MATCH(PlasticsUse!$A106,'Imports - Products'!$A$24:$A$40,0),MATCH(PlasticsUse!B$93,'Imports - Products'!$B$23:$G$23,0))*10^-6,0)</f>
        <v>0</v>
      </c>
      <c r="C106" s="30">
        <f>PlasticsUse!C39*INDEX(PlasticsDataCompilation!$B$20:$E$36,MATCH(PlasticsUse!$A106,PlasticsDataCompilation!$A$20:$A$36,0),4)+IFERROR(INDEX('Imports - Products'!$B$24:$G$40,MATCH(PlasticsUse!$A106,'Imports - Products'!$A$24:$A$40,0),MATCH(PlasticsUse!C$93,'Imports - Products'!$B$23:$G$23,0))*10^-6,0)</f>
        <v>0</v>
      </c>
      <c r="D106" s="30">
        <f>PlasticsUse!D39*INDEX(PlasticsDataCompilation!$B$20:$E$36,MATCH(PlasticsUse!$A106,PlasticsDataCompilation!$A$20:$A$36,0),4)+IFERROR(INDEX('Imports - Products'!$B$24:$G$40,MATCH(PlasticsUse!$A106,'Imports - Products'!$A$24:$A$40,0),MATCH(PlasticsUse!D$93,'Imports - Products'!$B$23:$G$23,0))*10^-6,0)</f>
        <v>0</v>
      </c>
      <c r="E106" s="30">
        <f>PlasticsUse!E39*INDEX(PlasticsDataCompilation!$B$20:$E$36,MATCH(PlasticsUse!$A106,PlasticsDataCompilation!$A$20:$A$36,0),4)+IFERROR(INDEX('Imports - Products'!$B$24:$G$40,MATCH(PlasticsUse!$A106,'Imports - Products'!$A$24:$A$40,0),MATCH(PlasticsUse!E$93,'Imports - Products'!$B$23:$G$23,0))*10^-6,0)</f>
        <v>0</v>
      </c>
      <c r="F106" s="30">
        <f>PlasticsUse!F39*INDEX(PlasticsDataCompilation!$B$20:$E$36,MATCH(PlasticsUse!$A106,PlasticsDataCompilation!$A$20:$A$36,0),4)+IFERROR(INDEX('Imports - Products'!$B$24:$G$40,MATCH(PlasticsUse!$A106,'Imports - Products'!$A$24:$A$40,0),MATCH(PlasticsUse!F$93,'Imports - Products'!$B$23:$G$23,0))*10^-6,0)</f>
        <v>0</v>
      </c>
      <c r="G106" s="30">
        <f>PlasticsUse!G39*INDEX(PlasticsDataCompilation!$B$20:$E$36,MATCH(PlasticsUse!$A106,PlasticsDataCompilation!$A$20:$A$36,0),4)+IFERROR(INDEX('Imports - Products'!$B$24:$G$40,MATCH(PlasticsUse!$A106,'Imports - Products'!$A$24:$A$40,0),MATCH(PlasticsUse!G$93,'Imports - Products'!$B$23:$G$23,0))*10^-6,0)</f>
        <v>0</v>
      </c>
      <c r="H106" s="30">
        <f>PlasticsUse!H39*INDEX(PlasticsDataCompilation!$B$20:$E$36,MATCH(PlasticsUse!$A106,PlasticsDataCompilation!$A$20:$A$36,0),4)+IFERROR(INDEX('Imports - Products'!$B$24:$G$40,MATCH(PlasticsUse!$A106,'Imports - Products'!$A$24:$A$40,0),MATCH(PlasticsUse!H$93,'Imports - Products'!$B$23:$G$23,0))*10^-6,0)</f>
        <v>0</v>
      </c>
      <c r="I106" s="30">
        <f>PlasticsUse!I39*INDEX(PlasticsDataCompilation!$B$20:$E$36,MATCH(PlasticsUse!$A106,PlasticsDataCompilation!$A$20:$A$36,0),4)+IFERROR(INDEX('Imports - Products'!$B$24:$G$40,MATCH(PlasticsUse!$A106,'Imports - Products'!$A$24:$A$40,0),MATCH(PlasticsUse!I$93,'Imports - Products'!$B$23:$G$23,0))*10^-6,0)</f>
        <v>0</v>
      </c>
      <c r="J106" s="30">
        <f>PlasticsUse!J39*INDEX(PlasticsDataCompilation!$B$20:$E$36,MATCH(PlasticsUse!$A106,PlasticsDataCompilation!$A$20:$A$36,0),4)+IFERROR(INDEX('Imports - Products'!$B$24:$G$40,MATCH(PlasticsUse!$A106,'Imports - Products'!$A$24:$A$40,0),MATCH(PlasticsUse!J$93,'Imports - Products'!$B$23:$G$23,0))*10^-6,0)</f>
        <v>0</v>
      </c>
      <c r="K106" s="30">
        <f>PlasticsUse!K39*INDEX(PlasticsDataCompilation!$B$20:$E$36,MATCH(PlasticsUse!$A106,PlasticsDataCompilation!$A$20:$A$36,0),4)+IFERROR(INDEX('Imports - Products'!$B$24:$G$40,MATCH(PlasticsUse!$A106,'Imports - Products'!$A$24:$A$40,0),MATCH(PlasticsUse!K$93,'Imports - Products'!$B$23:$G$23,0))*10^-6,0)</f>
        <v>0.70483072062519059</v>
      </c>
      <c r="L106" s="30">
        <f>PlasticsUse!L39*INDEX(PlasticsDataCompilation!$B$20:$E$36,MATCH(PlasticsUse!$A106,PlasticsDataCompilation!$A$20:$A$36,0),4)</f>
        <v>0</v>
      </c>
      <c r="M106" s="30">
        <f t="shared" si="24"/>
        <v>0.70483072062519059</v>
      </c>
      <c r="N106" s="23">
        <f t="shared" si="25"/>
        <v>1.1012680298043668E-2</v>
      </c>
    </row>
    <row r="107" spans="1:14" x14ac:dyDescent="0.2">
      <c r="A107" t="str">
        <f>PlasticsUse!A40</f>
        <v>Polycarbonate</v>
      </c>
      <c r="B107" s="30">
        <f>PlasticsUse!B40*INDEX(PlasticsDataCompilation!$B$20:$E$36,MATCH(PlasticsUse!$A107,PlasticsDataCompilation!$A$20:$A$36,0),4)+IFERROR(INDEX('Imports - Products'!$B$24:$G$40,MATCH(PlasticsUse!$A107,'Imports - Products'!$A$24:$A$40,0),MATCH(PlasticsUse!B$93,'Imports - Products'!$B$23:$G$23,0))*10^-6,0)</f>
        <v>0.806759233070793</v>
      </c>
      <c r="C107" s="30">
        <f>PlasticsUse!C40*INDEX(PlasticsDataCompilation!$B$20:$E$36,MATCH(PlasticsUse!$A107,PlasticsDataCompilation!$A$20:$A$36,0),4)+IFERROR(INDEX('Imports - Products'!$B$24:$G$40,MATCH(PlasticsUse!$A107,'Imports - Products'!$A$24:$A$40,0),MATCH(PlasticsUse!C$93,'Imports - Products'!$B$23:$G$23,0))*10^-6,0)</f>
        <v>0</v>
      </c>
      <c r="D107" s="30">
        <f>PlasticsUse!D40*INDEX(PlasticsDataCompilation!$B$20:$E$36,MATCH(PlasticsUse!$A107,PlasticsDataCompilation!$A$20:$A$36,0),4)+IFERROR(INDEX('Imports - Products'!$B$24:$G$40,MATCH(PlasticsUse!$A107,'Imports - Products'!$A$24:$A$40,0),MATCH(PlasticsUse!D$93,'Imports - Products'!$B$23:$G$23,0))*10^-6,0)</f>
        <v>1.0042799515704555</v>
      </c>
      <c r="E107" s="30">
        <f>PlasticsUse!E40*INDEX(PlasticsDataCompilation!$B$20:$E$36,MATCH(PlasticsUse!$A107,PlasticsDataCompilation!$A$20:$A$36,0),4)+IFERROR(INDEX('Imports - Products'!$B$24:$G$40,MATCH(PlasticsUse!$A107,'Imports - Products'!$A$24:$A$40,0),MATCH(PlasticsUse!E$93,'Imports - Products'!$B$23:$G$23,0))*10^-6,0)</f>
        <v>0</v>
      </c>
      <c r="F107" s="30">
        <f>PlasticsUse!F40*INDEX(PlasticsDataCompilation!$B$20:$E$36,MATCH(PlasticsUse!$A107,PlasticsDataCompilation!$A$20:$A$36,0),4)+IFERROR(INDEX('Imports - Products'!$B$24:$G$40,MATCH(PlasticsUse!$A107,'Imports - Products'!$A$24:$A$40,0),MATCH(PlasticsUse!F$93,'Imports - Products'!$B$23:$G$23,0))*10^-6,0)</f>
        <v>0.24026952468106957</v>
      </c>
      <c r="G107" s="30">
        <f>PlasticsUse!G40*INDEX(PlasticsDataCompilation!$B$20:$E$36,MATCH(PlasticsUse!$A107,PlasticsDataCompilation!$A$20:$A$36,0),4)+IFERROR(INDEX('Imports - Products'!$B$24:$G$40,MATCH(PlasticsUse!$A107,'Imports - Products'!$A$24:$A$40,0),MATCH(PlasticsUse!G$93,'Imports - Products'!$B$23:$G$23,0))*10^-6,0)</f>
        <v>1.3237429496915281</v>
      </c>
      <c r="H107" s="30">
        <f>PlasticsUse!H40*INDEX(PlasticsDataCompilation!$B$20:$E$36,MATCH(PlasticsUse!$A107,PlasticsDataCompilation!$A$20:$A$36,0),4)+IFERROR(INDEX('Imports - Products'!$B$24:$G$40,MATCH(PlasticsUse!$A107,'Imports - Products'!$A$24:$A$40,0),MATCH(PlasticsUse!H$93,'Imports - Products'!$B$23:$G$23,0))*10^-6,0)</f>
        <v>0.22535013235567564</v>
      </c>
      <c r="I107" s="30">
        <f>PlasticsUse!I40*INDEX(PlasticsDataCompilation!$B$20:$E$36,MATCH(PlasticsUse!$A107,PlasticsDataCompilation!$A$20:$A$36,0),4)+IFERROR(INDEX('Imports - Products'!$B$24:$G$40,MATCH(PlasticsUse!$A107,'Imports - Products'!$A$24:$A$40,0),MATCH(PlasticsUse!I$93,'Imports - Products'!$B$23:$G$23,0))*10^-6,0)</f>
        <v>0</v>
      </c>
      <c r="J107" s="30">
        <f>PlasticsUse!J40*INDEX(PlasticsDataCompilation!$B$20:$E$36,MATCH(PlasticsUse!$A107,PlasticsDataCompilation!$A$20:$A$36,0),4)+IFERROR(INDEX('Imports - Products'!$B$24:$G$40,MATCH(PlasticsUse!$A107,'Imports - Products'!$A$24:$A$40,0),MATCH(PlasticsUse!J$93,'Imports - Products'!$B$23:$G$23,0))*10^-6,0)</f>
        <v>0</v>
      </c>
      <c r="K107" s="30">
        <f>PlasticsUse!K40*INDEX(PlasticsDataCompilation!$B$20:$E$36,MATCH(PlasticsUse!$A107,PlasticsDataCompilation!$A$20:$A$36,0),4)+IFERROR(INDEX('Imports - Products'!$B$24:$G$40,MATCH(PlasticsUse!$A107,'Imports - Products'!$A$24:$A$40,0),MATCH(PlasticsUse!K$93,'Imports - Products'!$B$23:$G$23,0))*10^-6,0)</f>
        <v>1.0084490413384912</v>
      </c>
      <c r="L107" s="30">
        <f>PlasticsUse!L40*INDEX(PlasticsDataCompilation!$B$20:$E$36,MATCH(PlasticsUse!$A107,PlasticsDataCompilation!$A$20:$A$36,0),4)</f>
        <v>0</v>
      </c>
      <c r="M107" s="30">
        <f t="shared" si="24"/>
        <v>4.6088508327080131</v>
      </c>
      <c r="N107" s="23">
        <f t="shared" si="25"/>
        <v>7.2011334461932766E-2</v>
      </c>
    </row>
    <row r="108" spans="1:14" x14ac:dyDescent="0.2">
      <c r="A108" t="str">
        <f>PlasticsUse!A41</f>
        <v>Styrene butadiene rubber</v>
      </c>
      <c r="B108" s="30">
        <f>PlasticsUse!B41*INDEX(PlasticsDataCompilation!$B$20:$E$36,MATCH(PlasticsUse!$A108,PlasticsDataCompilation!$A$20:$A$36,0),4)+IFERROR(INDEX('Imports - Products'!$B$24:$G$40,MATCH(PlasticsUse!$A108,'Imports - Products'!$A$24:$A$40,0),MATCH(PlasticsUse!B$93,'Imports - Products'!$B$23:$G$23,0))*10^-6,0)</f>
        <v>0</v>
      </c>
      <c r="C108" s="30">
        <f>PlasticsUse!C41*INDEX(PlasticsDataCompilation!$B$20:$E$36,MATCH(PlasticsUse!$A108,PlasticsDataCompilation!$A$20:$A$36,0),4)+IFERROR(INDEX('Imports - Products'!$B$24:$G$40,MATCH(PlasticsUse!$A108,'Imports - Products'!$A$24:$A$40,0),MATCH(PlasticsUse!C$93,'Imports - Products'!$B$23:$G$23,0))*10^-6,0)</f>
        <v>0</v>
      </c>
      <c r="D108" s="30">
        <f>PlasticsUse!D41*INDEX(PlasticsDataCompilation!$B$20:$E$36,MATCH(PlasticsUse!$A108,PlasticsDataCompilation!$A$20:$A$36,0),4)+IFERROR(INDEX('Imports - Products'!$B$24:$G$40,MATCH(PlasticsUse!$A108,'Imports - Products'!$A$24:$A$40,0),MATCH(PlasticsUse!D$93,'Imports - Products'!$B$23:$G$23,0))*10^-6,0)</f>
        <v>0.89296721287660641</v>
      </c>
      <c r="E108" s="30">
        <f>PlasticsUse!E41*INDEX(PlasticsDataCompilation!$B$20:$E$36,MATCH(PlasticsUse!$A108,PlasticsDataCompilation!$A$20:$A$36,0),4)+IFERROR(INDEX('Imports - Products'!$B$24:$G$40,MATCH(PlasticsUse!$A108,'Imports - Products'!$A$24:$A$40,0),MATCH(PlasticsUse!E$93,'Imports - Products'!$B$23:$G$23,0))*10^-6,0)</f>
        <v>0</v>
      </c>
      <c r="F108" s="30">
        <f>PlasticsUse!F41*INDEX(PlasticsDataCompilation!$B$20:$E$36,MATCH(PlasticsUse!$A108,PlasticsDataCompilation!$A$20:$A$36,0),4)+IFERROR(INDEX('Imports - Products'!$B$24:$G$40,MATCH(PlasticsUse!$A108,'Imports - Products'!$A$24:$A$40,0),MATCH(PlasticsUse!F$93,'Imports - Products'!$B$23:$G$23,0))*10^-6,0)</f>
        <v>0</v>
      </c>
      <c r="G108" s="30">
        <f>PlasticsUse!G41*INDEX(PlasticsDataCompilation!$B$20:$E$36,MATCH(PlasticsUse!$A108,PlasticsDataCompilation!$A$20:$A$36,0),4)+IFERROR(INDEX('Imports - Products'!$B$24:$G$40,MATCH(PlasticsUse!$A108,'Imports - Products'!$A$24:$A$40,0),MATCH(PlasticsUse!G$93,'Imports - Products'!$B$23:$G$23,0))*10^-6,0)</f>
        <v>0</v>
      </c>
      <c r="H108" s="30">
        <f>PlasticsUse!H41*INDEX(PlasticsDataCompilation!$B$20:$E$36,MATCH(PlasticsUse!$A108,PlasticsDataCompilation!$A$20:$A$36,0),4)+IFERROR(INDEX('Imports - Products'!$B$24:$G$40,MATCH(PlasticsUse!$A108,'Imports - Products'!$A$24:$A$40,0),MATCH(PlasticsUse!H$93,'Imports - Products'!$B$23:$G$23,0))*10^-6,0)</f>
        <v>0</v>
      </c>
      <c r="I108" s="30">
        <f>PlasticsUse!I41*INDEX(PlasticsDataCompilation!$B$20:$E$36,MATCH(PlasticsUse!$A108,PlasticsDataCompilation!$A$20:$A$36,0),4)+IFERROR(INDEX('Imports - Products'!$B$24:$G$40,MATCH(PlasticsUse!$A108,'Imports - Products'!$A$24:$A$40,0),MATCH(PlasticsUse!I$93,'Imports - Products'!$B$23:$G$23,0))*10^-6,0)</f>
        <v>6.229994494416001E-2</v>
      </c>
      <c r="J108" s="30">
        <f>PlasticsUse!J41*INDEX(PlasticsDataCompilation!$B$20:$E$36,MATCH(PlasticsUse!$A108,PlasticsDataCompilation!$A$20:$A$36,0),4)+IFERROR(INDEX('Imports - Products'!$B$24:$G$40,MATCH(PlasticsUse!$A108,'Imports - Products'!$A$24:$A$40,0),MATCH(PlasticsUse!J$93,'Imports - Products'!$B$23:$G$23,0))*10^-6,0)</f>
        <v>0.12393947789046057</v>
      </c>
      <c r="K108" s="30">
        <f>PlasticsUse!K41*INDEX(PlasticsDataCompilation!$B$20:$E$36,MATCH(PlasticsUse!$A108,PlasticsDataCompilation!$A$20:$A$36,0),4)+IFERROR(INDEX('Imports - Products'!$B$24:$G$40,MATCH(PlasticsUse!$A108,'Imports - Products'!$A$24:$A$40,0),MATCH(PlasticsUse!K$93,'Imports - Products'!$B$23:$G$23,0))*10^-6,0)</f>
        <v>3.5599968539519046E-3</v>
      </c>
      <c r="L108" s="30">
        <f>PlasticsUse!L41*INDEX(PlasticsDataCompilation!$B$20:$E$36,MATCH(PlasticsUse!$A108,PlasticsDataCompilation!$A$20:$A$36,0),4)</f>
        <v>0</v>
      </c>
      <c r="M108" s="30">
        <f t="shared" si="24"/>
        <v>1.082766632565179</v>
      </c>
      <c r="N108" s="23">
        <f t="shared" si="25"/>
        <v>1.6917768214263995E-2</v>
      </c>
    </row>
    <row r="109" spans="1:14" x14ac:dyDescent="0.2">
      <c r="A109" t="s">
        <v>576</v>
      </c>
      <c r="B109" s="30">
        <f>PlasticsUse!B42*INDEX(PlasticsDataCompilation!$B$20:$E$36,MATCH(PlasticsUse!$A109,PlasticsDataCompilation!$A$20:$A$36,0),4)+IFERROR(INDEX('Imports - Products'!$B$24:$G$40,MATCH(PlasticsUse!$A109,'Imports - Products'!$A$24:$A$40,0),MATCH(PlasticsUse!B$93,'Imports - Products'!$B$23:$G$23,0))*10^-6,0)</f>
        <v>0</v>
      </c>
      <c r="C109" s="30">
        <f>PlasticsUse!C42*INDEX(PlasticsDataCompilation!$B$20:$E$36,MATCH(PlasticsUse!$A109,PlasticsDataCompilation!$A$20:$A$36,0),4)+IFERROR(INDEX('Imports - Products'!$B$24:$G$40,MATCH(PlasticsUse!$A109,'Imports - Products'!$A$24:$A$40,0),MATCH(PlasticsUse!C$93,'Imports - Products'!$B$23:$G$23,0))*10^-6,0)</f>
        <v>0</v>
      </c>
      <c r="D109" s="30">
        <f>PlasticsUse!D42*INDEX(PlasticsDataCompilation!$B$20:$E$36,MATCH(PlasticsUse!$A109,PlasticsDataCompilation!$A$20:$A$36,0),4)+IFERROR(INDEX('Imports - Products'!$B$24:$G$40,MATCH(PlasticsUse!$A109,'Imports - Products'!$A$24:$A$40,0),MATCH(PlasticsUse!D$93,'Imports - Products'!$B$23:$G$23,0))*10^-6,0)</f>
        <v>0</v>
      </c>
      <c r="E109" s="30">
        <f>PlasticsUse!E42*INDEX(PlasticsDataCompilation!$B$20:$E$36,MATCH(PlasticsUse!$A109,PlasticsDataCompilation!$A$20:$A$36,0),4)+IFERROR(INDEX('Imports - Products'!$B$24:$G$40,MATCH(PlasticsUse!$A109,'Imports - Products'!$A$24:$A$40,0),MATCH(PlasticsUse!E$93,'Imports - Products'!$B$23:$G$23,0))*10^-6,0)</f>
        <v>0</v>
      </c>
      <c r="F109" s="30">
        <f>PlasticsUse!F42*INDEX(PlasticsDataCompilation!$B$20:$E$36,MATCH(PlasticsUse!$A109,PlasticsDataCompilation!$A$20:$A$36,0),4)+IFERROR(INDEX('Imports - Products'!$B$24:$G$40,MATCH(PlasticsUse!$A109,'Imports - Products'!$A$24:$A$40,0),MATCH(PlasticsUse!F$93,'Imports - Products'!$B$23:$G$23,0))*10^-6,0)</f>
        <v>0</v>
      </c>
      <c r="G109" s="30">
        <f>PlasticsUse!G42*INDEX(PlasticsDataCompilation!$B$20:$E$36,MATCH(PlasticsUse!$A109,PlasticsDataCompilation!$A$20:$A$36,0),4)+IFERROR(INDEX('Imports - Products'!$B$24:$G$40,MATCH(PlasticsUse!$A109,'Imports - Products'!$A$24:$A$40,0),MATCH(PlasticsUse!G$93,'Imports - Products'!$B$23:$G$23,0))*10^-6,0)</f>
        <v>0</v>
      </c>
      <c r="H109" s="30">
        <f>PlasticsUse!H42*INDEX(PlasticsDataCompilation!$B$20:$E$36,MATCH(PlasticsUse!$A109,PlasticsDataCompilation!$A$20:$A$36,0),4)+IFERROR(INDEX('Imports - Products'!$B$24:$G$40,MATCH(PlasticsUse!$A109,'Imports - Products'!$A$24:$A$40,0),MATCH(PlasticsUse!H$93,'Imports - Products'!$B$23:$G$23,0))*10^-6,0)</f>
        <v>0</v>
      </c>
      <c r="I109" s="30">
        <f>PlasticsUse!I42*INDEX(PlasticsDataCompilation!$B$20:$E$36,MATCH(PlasticsUse!$A109,PlasticsDataCompilation!$A$20:$A$36,0),4)+IFERROR(INDEX('Imports - Products'!$B$24:$G$40,MATCH(PlasticsUse!$A109,'Imports - Products'!$A$24:$A$40,0),MATCH(PlasticsUse!I$93,'Imports - Products'!$B$23:$G$23,0))*10^-6,0)</f>
        <v>0</v>
      </c>
      <c r="J109" s="30">
        <f>PlasticsUse!J42*INDEX(PlasticsDataCompilation!$B$20:$E$36,MATCH(PlasticsUse!$A109,PlasticsDataCompilation!$A$20:$A$36,0),4)+IFERROR(INDEX('Imports - Products'!$B$24:$G$40,MATCH(PlasticsUse!$A109,'Imports - Products'!$A$24:$A$40,0),MATCH(PlasticsUse!J$93,'Imports - Products'!$B$23:$G$23,0))*10^-6,0)</f>
        <v>0</v>
      </c>
      <c r="K109" s="30">
        <f>PlasticsUse!K42*INDEX(PlasticsDataCompilation!$B$20:$E$36,MATCH(PlasticsUse!$A109,PlasticsDataCompilation!$A$20:$A$36,0),4)+IFERROR(INDEX('Imports - Products'!$B$24:$G$40,MATCH(PlasticsUse!$A109,'Imports - Products'!$A$24:$A$40,0),MATCH(PlasticsUse!K$93,'Imports - Products'!$B$23:$G$23,0))*10^-6,0)</f>
        <v>2.2635924861555377</v>
      </c>
      <c r="L109" s="30">
        <f>PlasticsUse!L42*INDEX(PlasticsDataCompilation!$B$20:$E$36,MATCH(PlasticsUse!$A109,PlasticsDataCompilation!$A$20:$A$36,0),4)</f>
        <v>0</v>
      </c>
      <c r="M109" s="30">
        <f t="shared" si="24"/>
        <v>2.2635924861555377</v>
      </c>
      <c r="N109" s="23">
        <f t="shared" ref="N109:N110" si="26">M109/$M$111</f>
        <v>3.5367670059802785E-2</v>
      </c>
    </row>
    <row r="110" spans="1:14" x14ac:dyDescent="0.2">
      <c r="A110" t="s">
        <v>575</v>
      </c>
      <c r="B110" s="30">
        <f>PlasticsUse!B43*INDEX(PlasticsDataCompilation!$B$20:$E$36,MATCH(PlasticsUse!$A110,PlasticsDataCompilation!$A$20:$A$36,0),4)+IFERROR(INDEX('Imports - Products'!$B$24:$G$40,MATCH(PlasticsUse!$A110,'Imports - Products'!$A$24:$A$40,0),MATCH(PlasticsUse!B$93,'Imports - Products'!$B$23:$G$23,0))*10^-6,0)</f>
        <v>0</v>
      </c>
      <c r="C110" s="30">
        <f>PlasticsUse!C43*INDEX(PlasticsDataCompilation!$B$20:$E$36,MATCH(PlasticsUse!$A110,PlasticsDataCompilation!$A$20:$A$36,0),4)+IFERROR(INDEX('Imports - Products'!$B$24:$G$40,MATCH(PlasticsUse!$A110,'Imports - Products'!$A$24:$A$40,0),MATCH(PlasticsUse!C$93,'Imports - Products'!$B$23:$G$23,0))*10^-6,0)</f>
        <v>0</v>
      </c>
      <c r="D110" s="30">
        <f>PlasticsUse!D43*INDEX(PlasticsDataCompilation!$B$20:$E$36,MATCH(PlasticsUse!$A110,PlasticsDataCompilation!$A$20:$A$36,0),4)+IFERROR(INDEX('Imports - Products'!$B$24:$G$40,MATCH(PlasticsUse!$A110,'Imports - Products'!$A$24:$A$40,0),MATCH(PlasticsUse!D$93,'Imports - Products'!$B$23:$G$23,0))*10^-6,0)</f>
        <v>0</v>
      </c>
      <c r="E110" s="30">
        <f>PlasticsUse!E43*INDEX(PlasticsDataCompilation!$B$20:$E$36,MATCH(PlasticsUse!$A110,PlasticsDataCompilation!$A$20:$A$36,0),4)+IFERROR(INDEX('Imports - Products'!$B$24:$G$40,MATCH(PlasticsUse!$A110,'Imports - Products'!$A$24:$A$40,0),MATCH(PlasticsUse!E$93,'Imports - Products'!$B$23:$G$23,0))*10^-6,0)</f>
        <v>0</v>
      </c>
      <c r="F110" s="30">
        <f>PlasticsUse!F43*INDEX(PlasticsDataCompilation!$B$20:$E$36,MATCH(PlasticsUse!$A110,PlasticsDataCompilation!$A$20:$A$36,0),4)+IFERROR(INDEX('Imports - Products'!$B$24:$G$40,MATCH(PlasticsUse!$A110,'Imports - Products'!$A$24:$A$40,0),MATCH(PlasticsUse!F$93,'Imports - Products'!$B$23:$G$23,0))*10^-6,0)</f>
        <v>0</v>
      </c>
      <c r="G110" s="30">
        <f>PlasticsUse!G43*INDEX(PlasticsDataCompilation!$B$20:$E$36,MATCH(PlasticsUse!$A110,PlasticsDataCompilation!$A$20:$A$36,0),4)+IFERROR(INDEX('Imports - Products'!$B$24:$G$40,MATCH(PlasticsUse!$A110,'Imports - Products'!$A$24:$A$40,0),MATCH(PlasticsUse!G$93,'Imports - Products'!$B$23:$G$23,0))*10^-6,0)</f>
        <v>0</v>
      </c>
      <c r="H110" s="30">
        <f>PlasticsUse!H43*INDEX(PlasticsDataCompilation!$B$20:$E$36,MATCH(PlasticsUse!$A110,PlasticsDataCompilation!$A$20:$A$36,0),4)+IFERROR(INDEX('Imports - Products'!$B$24:$G$40,MATCH(PlasticsUse!$A110,'Imports - Products'!$A$24:$A$40,0),MATCH(PlasticsUse!H$93,'Imports - Products'!$B$23:$G$23,0))*10^-6,0)</f>
        <v>0</v>
      </c>
      <c r="I110" s="30">
        <f>PlasticsUse!I43*INDEX(PlasticsDataCompilation!$B$20:$E$36,MATCH(PlasticsUse!$A110,PlasticsDataCompilation!$A$20:$A$36,0),4)+IFERROR(INDEX('Imports - Products'!$B$24:$G$40,MATCH(PlasticsUse!$A110,'Imports - Products'!$A$24:$A$40,0),MATCH(PlasticsUse!I$93,'Imports - Products'!$B$23:$G$23,0))*10^-6,0)</f>
        <v>0</v>
      </c>
      <c r="J110" s="30">
        <f>PlasticsUse!J43*INDEX(PlasticsDataCompilation!$B$20:$E$36,MATCH(PlasticsUse!$A110,PlasticsDataCompilation!$A$20:$A$36,0),4)+IFERROR(INDEX('Imports - Products'!$B$24:$G$40,MATCH(PlasticsUse!$A110,'Imports - Products'!$A$24:$A$40,0),MATCH(PlasticsUse!J$93,'Imports - Products'!$B$23:$G$23,0))*10^-6,0)</f>
        <v>0</v>
      </c>
      <c r="K110" s="30">
        <f>PlasticsUse!K43*INDEX(PlasticsDataCompilation!$B$20:$E$36,MATCH(PlasticsUse!$A110,PlasticsDataCompilation!$A$20:$A$36,0),4)+IFERROR(INDEX('Imports - Products'!$B$24:$G$40,MATCH(PlasticsUse!$A110,'Imports - Products'!$A$24:$A$40,0),MATCH(PlasticsUse!K$93,'Imports - Products'!$B$23:$G$23,0))*10^-6,0)</f>
        <v>0.98589352833803645</v>
      </c>
      <c r="L110" s="30">
        <f>PlasticsUse!L43*INDEX(PlasticsDataCompilation!$B$20:$E$36,MATCH(PlasticsUse!$A110,PlasticsDataCompilation!$A$20:$A$36,0),4)</f>
        <v>0</v>
      </c>
      <c r="M110" s="30">
        <f t="shared" si="24"/>
        <v>0.98589352833803645</v>
      </c>
      <c r="N110" s="23">
        <f t="shared" si="26"/>
        <v>1.5404167153591873E-2</v>
      </c>
    </row>
    <row r="111" spans="1:14" x14ac:dyDescent="0.2">
      <c r="A111" s="2" t="s">
        <v>93</v>
      </c>
      <c r="B111" s="31">
        <f>SUM(B94:B110)</f>
        <v>4.771339250715747</v>
      </c>
      <c r="C111" s="31">
        <f t="shared" ref="C111:L111" si="27">SUM(C94:C110)</f>
        <v>4.5917146214031224</v>
      </c>
      <c r="D111" s="31">
        <f t="shared" si="27"/>
        <v>7.004131350599339</v>
      </c>
      <c r="E111" s="31">
        <f t="shared" si="27"/>
        <v>4.0014059326395097</v>
      </c>
      <c r="F111" s="31">
        <f t="shared" si="27"/>
        <v>8.1338347248882776</v>
      </c>
      <c r="G111" s="31">
        <f t="shared" si="27"/>
        <v>7.3183755285513676</v>
      </c>
      <c r="H111" s="31">
        <f t="shared" si="27"/>
        <v>4.8136310130994442</v>
      </c>
      <c r="I111" s="31">
        <f t="shared" si="27"/>
        <v>3.9631299625891137</v>
      </c>
      <c r="J111" s="31">
        <f t="shared" si="27"/>
        <v>3.5516292275624139</v>
      </c>
      <c r="K111" s="31">
        <f t="shared" si="27"/>
        <v>11.90143218228577</v>
      </c>
      <c r="L111" s="31">
        <f t="shared" si="27"/>
        <v>3.9511179751422314</v>
      </c>
      <c r="M111" s="31">
        <f>SUM(M94:M110)</f>
        <v>64.00174176947634</v>
      </c>
      <c r="N111" s="23">
        <f>M111/$M$111</f>
        <v>1</v>
      </c>
    </row>
    <row r="112" spans="1:14" x14ac:dyDescent="0.2">
      <c r="M112" s="23"/>
    </row>
    <row r="113" spans="1:1" x14ac:dyDescent="0.2">
      <c r="A113" s="2"/>
    </row>
  </sheetData>
  <mergeCells count="15">
    <mergeCell ref="B4:I4"/>
    <mergeCell ref="X5:Y5"/>
    <mergeCell ref="J4:Y4"/>
    <mergeCell ref="L5:M5"/>
    <mergeCell ref="N5:O5"/>
    <mergeCell ref="P5:Q5"/>
    <mergeCell ref="R5:S5"/>
    <mergeCell ref="T5:U5"/>
    <mergeCell ref="V5:W5"/>
    <mergeCell ref="J5:K5"/>
    <mergeCell ref="B92:L92"/>
    <mergeCell ref="B5:C5"/>
    <mergeCell ref="D5:E5"/>
    <mergeCell ref="F5:G5"/>
    <mergeCell ref="H5:I5"/>
  </mergeCells>
  <phoneticPr fontId="5" type="noConversion"/>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E86EEE-EC25-9C4C-BFD7-44AD49319825}">
  <dimension ref="A1:X119"/>
  <sheetViews>
    <sheetView zoomScale="120" zoomScaleNormal="120" workbookViewId="0">
      <selection activeCell="B5" sqref="B5"/>
    </sheetView>
  </sheetViews>
  <sheetFormatPr baseColWidth="10" defaultRowHeight="15" x14ac:dyDescent="0.2"/>
  <cols>
    <col min="1" max="1" width="31.83203125" style="14" customWidth="1"/>
    <col min="2" max="2" width="12.1640625" style="14" bestFit="1" customWidth="1"/>
    <col min="3" max="4" width="10.83203125" style="14"/>
    <col min="5" max="5" width="15.83203125" style="14" customWidth="1"/>
    <col min="6" max="11" width="10.83203125" style="14"/>
    <col min="12" max="12" width="15.33203125" style="14" customWidth="1"/>
    <col min="13" max="13" width="17.33203125" style="14" customWidth="1"/>
    <col min="14" max="14" width="12.33203125" style="14" bestFit="1" customWidth="1"/>
    <col min="15" max="16" width="12.5" style="14" customWidth="1"/>
    <col min="17" max="18" width="10.83203125" style="14"/>
    <col min="19" max="19" width="14.33203125" style="14" customWidth="1"/>
    <col min="20" max="20" width="10.83203125" style="14"/>
    <col min="21" max="21" width="14.5" style="14" customWidth="1"/>
    <col min="22" max="16384" width="10.83203125" style="14"/>
  </cols>
  <sheetData>
    <row r="1" spans="1:8" ht="24" x14ac:dyDescent="0.3">
      <c r="A1" s="4" t="s">
        <v>388</v>
      </c>
    </row>
    <row r="3" spans="1:8" ht="19" x14ac:dyDescent="0.25">
      <c r="A3" s="12" t="s">
        <v>900</v>
      </c>
    </row>
    <row r="4" spans="1:8" x14ac:dyDescent="0.2">
      <c r="B4" s="13" t="s">
        <v>27</v>
      </c>
      <c r="C4" s="13" t="s">
        <v>33</v>
      </c>
      <c r="D4" s="13" t="s">
        <v>18</v>
      </c>
      <c r="E4" s="13" t="s">
        <v>901</v>
      </c>
      <c r="F4" s="13" t="s">
        <v>392</v>
      </c>
    </row>
    <row r="5" spans="1:8" x14ac:dyDescent="0.2">
      <c r="A5" s="13" t="s">
        <v>899</v>
      </c>
      <c r="B5" s="145">
        <f>'Import Summary'!D28</f>
        <v>53.515172999349822</v>
      </c>
      <c r="C5" s="145">
        <f>SUM('Import Summary'!B28:C28)</f>
        <v>12.112448996322366</v>
      </c>
      <c r="D5" s="145">
        <f>'Import Summary'!E28</f>
        <v>3.9511179751422314</v>
      </c>
      <c r="E5" s="145">
        <f>B5+C5-D5</f>
        <v>61.676504020529954</v>
      </c>
      <c r="F5" s="145">
        <f>W98</f>
        <v>48.860432579009448</v>
      </c>
    </row>
    <row r="12" spans="1:8" x14ac:dyDescent="0.2">
      <c r="A12" s="13" t="s">
        <v>50</v>
      </c>
      <c r="B12" s="186" t="s">
        <v>51</v>
      </c>
      <c r="C12" s="186"/>
      <c r="D12" s="186"/>
      <c r="E12" s="186"/>
      <c r="F12" s="186"/>
      <c r="G12" s="13" t="s">
        <v>52</v>
      </c>
      <c r="H12" s="13" t="s">
        <v>53</v>
      </c>
    </row>
    <row r="13" spans="1:8" x14ac:dyDescent="0.2">
      <c r="A13" s="13"/>
      <c r="B13" s="13" t="s">
        <v>54</v>
      </c>
      <c r="C13" s="13" t="s">
        <v>55</v>
      </c>
      <c r="D13" s="13" t="s">
        <v>56</v>
      </c>
      <c r="E13" s="13" t="s">
        <v>66</v>
      </c>
      <c r="F13" s="13" t="s">
        <v>57</v>
      </c>
      <c r="G13" s="13" t="s">
        <v>58</v>
      </c>
      <c r="H13" s="13" t="s">
        <v>59</v>
      </c>
    </row>
    <row r="14" spans="1:8" x14ac:dyDescent="0.2">
      <c r="A14" s="13" t="s">
        <v>60</v>
      </c>
      <c r="B14" s="14">
        <v>1</v>
      </c>
      <c r="C14" s="14">
        <v>20</v>
      </c>
      <c r="D14" s="14">
        <v>13</v>
      </c>
      <c r="E14" s="14">
        <v>3</v>
      </c>
      <c r="F14" s="14">
        <v>9</v>
      </c>
      <c r="G14" s="14">
        <f>LN(D14/SQRT(1+F14/POWER(D14,2)))</f>
        <v>2.539006939777031</v>
      </c>
      <c r="H14" s="14">
        <f>SQRT(LN(1+F14/POWER(D14,2)))</f>
        <v>0.22778242989530981</v>
      </c>
    </row>
    <row r="15" spans="1:8" x14ac:dyDescent="0.2">
      <c r="A15" s="13" t="s">
        <v>39</v>
      </c>
      <c r="B15" s="14">
        <v>0</v>
      </c>
      <c r="C15" s="14">
        <v>1</v>
      </c>
      <c r="D15" s="14">
        <v>0.5</v>
      </c>
      <c r="E15" s="14">
        <v>0.1</v>
      </c>
      <c r="F15" s="14">
        <v>1.0000000000000002E-2</v>
      </c>
      <c r="G15" s="14">
        <f t="shared" ref="G15:G20" si="0">LN(D15/SQRT(1+F15/POWER(D15,2)))</f>
        <v>-0.71275753713658596</v>
      </c>
      <c r="H15" s="14">
        <f t="shared" ref="H15:H20" si="1">SQRT(LN(1+F15/POWER(D15,2)))</f>
        <v>0.19804220043536511</v>
      </c>
    </row>
    <row r="16" spans="1:8" x14ac:dyDescent="0.2">
      <c r="A16" s="13" t="s">
        <v>61</v>
      </c>
      <c r="B16" s="14">
        <v>10</v>
      </c>
      <c r="C16" s="14">
        <v>60</v>
      </c>
      <c r="D16" s="14">
        <v>35</v>
      </c>
      <c r="E16" s="14">
        <v>7</v>
      </c>
      <c r="F16" s="14">
        <v>49</v>
      </c>
      <c r="G16" s="14">
        <f t="shared" si="0"/>
        <v>3.5357377049127732</v>
      </c>
      <c r="H16" s="14">
        <f t="shared" si="1"/>
        <v>0.19804220043536511</v>
      </c>
    </row>
    <row r="17" spans="1:21" x14ac:dyDescent="0.2">
      <c r="A17" s="13" t="s">
        <v>62</v>
      </c>
      <c r="B17" s="14">
        <v>1</v>
      </c>
      <c r="C17" s="14">
        <v>10</v>
      </c>
      <c r="D17" s="14">
        <v>8</v>
      </c>
      <c r="E17" s="14">
        <v>2</v>
      </c>
      <c r="F17" s="14">
        <v>4</v>
      </c>
      <c r="G17" s="14">
        <f t="shared" si="0"/>
        <v>2.0491292307716185</v>
      </c>
      <c r="H17" s="14">
        <f t="shared" si="1"/>
        <v>0.24622067706923975</v>
      </c>
    </row>
    <row r="18" spans="1:21" x14ac:dyDescent="0.2">
      <c r="A18" s="13" t="s">
        <v>63</v>
      </c>
      <c r="B18" s="14">
        <v>1</v>
      </c>
      <c r="C18" s="14">
        <v>10</v>
      </c>
      <c r="D18" s="14">
        <v>3</v>
      </c>
      <c r="E18" s="14">
        <v>1</v>
      </c>
      <c r="F18" s="14">
        <v>1</v>
      </c>
      <c r="G18" s="14">
        <f t="shared" si="0"/>
        <v>1.0459320308391964</v>
      </c>
      <c r="H18" s="14">
        <f t="shared" si="1"/>
        <v>0.32459284597450133</v>
      </c>
    </row>
    <row r="19" spans="1:21" x14ac:dyDescent="0.2">
      <c r="A19" s="13" t="s">
        <v>64</v>
      </c>
      <c r="B19" s="14">
        <v>5</v>
      </c>
      <c r="C19" s="14">
        <v>30</v>
      </c>
      <c r="D19" s="14">
        <v>20</v>
      </c>
      <c r="E19" s="14">
        <v>3</v>
      </c>
      <c r="F19" s="14">
        <v>9</v>
      </c>
      <c r="G19" s="14">
        <f t="shared" si="0"/>
        <v>2.9846069690865811</v>
      </c>
      <c r="H19" s="14">
        <f t="shared" si="1"/>
        <v>0.14916638004195087</v>
      </c>
    </row>
    <row r="20" spans="1:21" x14ac:dyDescent="0.2">
      <c r="A20" s="13" t="s">
        <v>65</v>
      </c>
      <c r="B20" s="14">
        <v>1</v>
      </c>
      <c r="C20" s="14">
        <v>10</v>
      </c>
      <c r="D20" s="14">
        <v>5</v>
      </c>
      <c r="E20" s="14">
        <v>1.5</v>
      </c>
      <c r="F20" s="14">
        <v>2.25</v>
      </c>
      <c r="G20" s="14">
        <f t="shared" si="0"/>
        <v>1.5663490643135742</v>
      </c>
      <c r="H20" s="14">
        <f t="shared" si="1"/>
        <v>0.29356037920852401</v>
      </c>
    </row>
    <row r="21" spans="1:21" x14ac:dyDescent="0.2">
      <c r="N21" s="187" t="s">
        <v>387</v>
      </c>
      <c r="O21" s="188"/>
      <c r="P21" s="188"/>
      <c r="Q21" s="188"/>
      <c r="R21" s="188"/>
      <c r="S21" s="188"/>
      <c r="T21" s="189"/>
    </row>
    <row r="22" spans="1:21" ht="48" x14ac:dyDescent="0.2">
      <c r="N22" s="6" t="s">
        <v>39</v>
      </c>
      <c r="O22" s="6" t="str">
        <f>PlasticsUse!A14</f>
        <v>Consumer and Institutional</v>
      </c>
      <c r="P22" s="7" t="s">
        <v>12</v>
      </c>
      <c r="Q22" s="6" t="str">
        <f>PlasticsUse!A13</f>
        <v>Electrical/Electronic</v>
      </c>
      <c r="R22" s="6" t="s">
        <v>69</v>
      </c>
      <c r="S22" s="6" t="str">
        <f>PlasticsUse!A10</f>
        <v>Industrial/Machinery</v>
      </c>
      <c r="T22" s="7" t="s">
        <v>38</v>
      </c>
    </row>
    <row r="23" spans="1:21" x14ac:dyDescent="0.2">
      <c r="N23" s="98">
        <f>INDEX(PlasticsUse!$B$111:$K$111,1,MATCH('In-Use Stocks'!N$22,PlasticsUse!$B$93:$K$93,0))/(PlasticsUse!$M$111-PlasticsUse!$L$111)</f>
        <v>0.13544962917863512</v>
      </c>
      <c r="O23" s="98">
        <f>INDEX(PlasticsUse!$B$111:$K$111,1,MATCH('In-Use Stocks'!O$22,PlasticsUse!$B$93:$K$93,0))/(PlasticsUse!$M$111-PlasticsUse!$L$111)</f>
        <v>8.0159550541648486E-2</v>
      </c>
      <c r="P23" s="98">
        <f>SUM(PlasticsUse!C111,PlasticsUse!I111,PlasticsUse!J111,PlasticsUse!K111)/(PlasticsUse!M111-PlasticsUse!L111)</f>
        <v>0.399794448032122</v>
      </c>
      <c r="Q23" s="98">
        <f>INDEX(PlasticsUse!$B$111:$K$111,1,MATCH('In-Use Stocks'!Q$22,PlasticsUse!$B$93:$K$93,0))/(PlasticsUse!$M$111-PlasticsUse!$L$111)</f>
        <v>0.12187010002786799</v>
      </c>
      <c r="R23" s="98">
        <f>INDEX(PlasticsUse!$B$111:$K$111,1,MATCH('In-Use Stocks'!R$22,PlasticsUse!$B$93:$K$93,0))/(PlasticsUse!$M$111-PlasticsUse!$L$111)</f>
        <v>0.11663711229025055</v>
      </c>
      <c r="S23" s="98">
        <f>INDEX(PlasticsUse!$B$111:$K$111,1,MATCH('In-Use Stocks'!S$22,PlasticsUse!$B$93:$K$93,0))/(PlasticsUse!$M$111-PlasticsUse!$L$111)</f>
        <v>6.6633877881832268E-2</v>
      </c>
      <c r="T23" s="98">
        <f>INDEX(PlasticsUse!$B$111:$K$111,1,MATCH('In-Use Stocks'!T$22,PlasticsUse!$B$93:$K$93,0))/(PlasticsUse!$M$111-PlasticsUse!$L$111)</f>
        <v>7.9455282047643475E-2</v>
      </c>
    </row>
    <row r="24" spans="1:21" ht="48" x14ac:dyDescent="0.2">
      <c r="A24" s="5" t="s">
        <v>67</v>
      </c>
      <c r="B24" s="7" t="s">
        <v>39</v>
      </c>
      <c r="C24" s="7" t="str">
        <f>PlasticsUse!A14</f>
        <v>Consumer and Institutional</v>
      </c>
      <c r="D24" s="7" t="s">
        <v>12</v>
      </c>
      <c r="E24" s="7" t="str">
        <f>PlasticsUse!A13</f>
        <v>Electrical/Electronic</v>
      </c>
      <c r="F24" s="7" t="s">
        <v>69</v>
      </c>
      <c r="G24" s="7" t="str">
        <f>PlasticsUse!A10</f>
        <v>Industrial/Machinery</v>
      </c>
      <c r="H24" s="7" t="s">
        <v>38</v>
      </c>
      <c r="L24" s="100" t="s">
        <v>385</v>
      </c>
      <c r="M24" s="100" t="s">
        <v>386</v>
      </c>
      <c r="N24" s="190" t="s">
        <v>389</v>
      </c>
      <c r="O24" s="191"/>
      <c r="P24" s="191"/>
      <c r="Q24" s="191"/>
      <c r="R24" s="191"/>
      <c r="S24" s="191"/>
      <c r="T24" s="192"/>
      <c r="U24" s="99" t="s">
        <v>390</v>
      </c>
    </row>
    <row r="25" spans="1:21" x14ac:dyDescent="0.2">
      <c r="A25" s="101">
        <v>0.1</v>
      </c>
      <c r="B25" s="101">
        <f>_xlfn.LOGNORM.DIST($A25,$G$15,$H$15,TRUE)</f>
        <v>4.964994245088543E-16</v>
      </c>
      <c r="C25" s="101">
        <f>_xlfn.LOGNORM.DIST($A25,$G$18,$H$18,TRUE)</f>
        <v>2.9811926003298819E-25</v>
      </c>
      <c r="D25" s="101">
        <f>_xlfn.LOGNORM.DIST($A25,$G$20,$H$20,TRUE)</f>
        <v>5.7692464294201527E-40</v>
      </c>
      <c r="E25" s="101">
        <f>_xlfn.LOGNORM.DIST($A25,$G$17,$H$17,TRUE)</f>
        <v>3.3230518147895951E-70</v>
      </c>
      <c r="F25" s="101">
        <f>_xlfn.LOGNORM.DIST($A25,$G$14,$H$14,TRUE)</f>
        <v>1.471249278561336E-100</v>
      </c>
      <c r="G25" s="101">
        <f>_xlfn.LOGNORM.DIST($A25,$G$19,$H$19,TRUE)</f>
        <v>1.7360584479421825E-275</v>
      </c>
      <c r="H25" s="101">
        <f>_xlfn.LOGNORM.DIST($A25,$G$16,$H$16,TRUE)</f>
        <v>2.5830814858269315E-191</v>
      </c>
      <c r="L25" s="101">
        <v>1975</v>
      </c>
      <c r="M25" s="101">
        <v>10.130000000000001</v>
      </c>
      <c r="N25" s="102">
        <f>N$23*$M25*INDEX($A$26:$H$89,($L$69-$L25+1),MATCH(N$22,$A$24:$H$24,0))</f>
        <v>0</v>
      </c>
      <c r="O25" s="102">
        <f t="shared" ref="O25:T40" si="2">O$23*$M25*INDEX($A$26:$H$89,($L$69-$L25+1),MATCH(O$22,$A$24:$H$24,0))</f>
        <v>0</v>
      </c>
      <c r="P25" s="102">
        <f t="shared" si="2"/>
        <v>3.8218651518879669E-14</v>
      </c>
      <c r="Q25" s="102">
        <f t="shared" si="2"/>
        <v>5.4591766698346566E-13</v>
      </c>
      <c r="R25" s="102">
        <f t="shared" si="2"/>
        <v>1.1640916607235286E-8</v>
      </c>
      <c r="S25" s="102">
        <f t="shared" si="2"/>
        <v>1.5992258366502585E-8</v>
      </c>
      <c r="T25" s="102">
        <f t="shared" si="2"/>
        <v>1.5428954441060506E-2</v>
      </c>
      <c r="U25" s="102">
        <f>SUM(N25:T25)</f>
        <v>1.5428982074819617E-2</v>
      </c>
    </row>
    <row r="26" spans="1:21" x14ac:dyDescent="0.2">
      <c r="A26" s="101">
        <v>1</v>
      </c>
      <c r="B26" s="101">
        <f>_xlfn.LOGNORM.DIST($A26,$G$15,$H$15,TRUE)-_xlfn.LOGNORM.DIST($A25,$G$15,$H$15,TRUE)</f>
        <v>0.99984028974725747</v>
      </c>
      <c r="C26" s="101">
        <f>_xlfn.LOGNORM.DIST($A26,$G$18,$H$18,TRUE)-_xlfn.LOGNORM.DIST($A25,$G$18,$H$18,TRUE)</f>
        <v>6.3585346163418154E-4</v>
      </c>
      <c r="D26" s="101">
        <f>_xlfn.LOGNORM.DIST($A26,$G$20,$H$20,TRUE)-_xlfn.LOGNORM.DIST($A25,$G$20,$H$20,TRUE)</f>
        <v>4.7589266113896063E-8</v>
      </c>
      <c r="E26" s="101">
        <f>_xlfn.LOGNORM.DIST($A26,$G$17,$H$17,TRUE)-_xlfn.LOGNORM.DIST($A25,$G$17,$H$17,TRUE)</f>
        <v>4.3126122378158473E-17</v>
      </c>
      <c r="F26" s="101">
        <f>_xlfn.LOGNORM.DIST($A26,$G$14,$H$14,TRUE)-_xlfn.LOGNORM.DIST($A25,$G$14,$H$14,TRUE)</f>
        <v>3.7184087901980325E-29</v>
      </c>
      <c r="G26" s="101">
        <f>_xlfn.LOGNORM.DIST($A26,$G$19,$H$19,TRUE)-_xlfn.LOGNORM.DIST($A25,$G$19,$H$19,TRUE)</f>
        <v>2.3184961325042094E-89</v>
      </c>
      <c r="H26" s="101">
        <f>_xlfn.LOGNORM.DIST($A26,$G$16,$H$16,TRUE)-_xlfn.LOGNORM.DIST($A25,$G$16,$H$16,TRUE)</f>
        <v>1.358454884208426E-71</v>
      </c>
      <c r="L26" s="101">
        <v>1976</v>
      </c>
      <c r="M26" s="101">
        <v>12.9</v>
      </c>
      <c r="N26" s="102">
        <f t="shared" ref="N26:T68" si="3">N$23*$M26*INDEX($A$26:$H$89,($L$69-$L26+1),MATCH(N$22,$A$24:$H$24,0))</f>
        <v>0</v>
      </c>
      <c r="O26" s="102">
        <f t="shared" si="2"/>
        <v>0</v>
      </c>
      <c r="P26" s="102">
        <f t="shared" si="2"/>
        <v>8.8177426522741246E-14</v>
      </c>
      <c r="Q26" s="102">
        <f t="shared" si="2"/>
        <v>1.3635131863907626E-12</v>
      </c>
      <c r="R26" s="102">
        <f t="shared" si="2"/>
        <v>2.6168127409583719E-8</v>
      </c>
      <c r="S26" s="102">
        <f t="shared" si="2"/>
        <v>4.7130632394199878E-8</v>
      </c>
      <c r="T26" s="102">
        <f t="shared" si="2"/>
        <v>2.3207585666581262E-2</v>
      </c>
      <c r="U26" s="102">
        <f>SUM(N26:T26)+U25</f>
        <v>3.8636641041612373E-2</v>
      </c>
    </row>
    <row r="27" spans="1:21" x14ac:dyDescent="0.2">
      <c r="A27" s="101">
        <v>2</v>
      </c>
      <c r="B27" s="101">
        <f t="shared" ref="B27:B89" si="4">_xlfn.LOGNORM.DIST($A27,$G$15,$H$15,TRUE)-_xlfn.LOGNORM.DIST($A26,$G$15,$H$15,TRUE)</f>
        <v>1.597102521138094E-4</v>
      </c>
      <c r="C27" s="101">
        <f t="shared" ref="C27:C89" si="5">_xlfn.LOGNORM.DIST($A27,$G$18,$H$18,TRUE)-_xlfn.LOGNORM.DIST($A26,$G$18,$H$18,TRUE)</f>
        <v>0.13791494015873271</v>
      </c>
      <c r="D27" s="101">
        <f t="shared" ref="D27:D89" si="6">_xlfn.LOGNORM.DIST($A27,$G$20,$H$20,TRUE)-_xlfn.LOGNORM.DIST($A26,$G$20,$H$20,TRUE)</f>
        <v>1.4671782133707594E-3</v>
      </c>
      <c r="E27" s="101">
        <f t="shared" ref="E27:E89" si="7">_xlfn.LOGNORM.DIST($A27,$G$17,$H$17,TRUE)-_xlfn.LOGNORM.DIST($A26,$G$17,$H$17,TRUE)</f>
        <v>1.8231175087565048E-8</v>
      </c>
      <c r="F27" s="101">
        <f t="shared" ref="F27:F89" si="8">_xlfn.LOGNORM.DIST($A27,$G$14,$H$14,TRUE)-_xlfn.LOGNORM.DIST($A26,$G$14,$H$14,TRUE)</f>
        <v>2.6676181575036069E-16</v>
      </c>
      <c r="G27" s="101">
        <f t="shared" ref="G27:G89" si="9">_xlfn.LOGNORM.DIST($A27,$G$19,$H$19,TRUE)-_xlfn.LOGNORM.DIST($A26,$G$19,$H$19,TRUE)</f>
        <v>1.4769658041942992E-53</v>
      </c>
      <c r="H27" s="101">
        <f t="shared" ref="H27:H89" si="10">_xlfn.LOGNORM.DIST($A27,$G$16,$H$16,TRUE)-_xlfn.LOGNORM.DIST($A26,$G$16,$H$16,TRUE)</f>
        <v>5.0676983676390895E-47</v>
      </c>
      <c r="L27" s="101">
        <v>1977</v>
      </c>
      <c r="M27" s="101">
        <v>14.9</v>
      </c>
      <c r="N27" s="102">
        <f t="shared" si="3"/>
        <v>0</v>
      </c>
      <c r="O27" s="102">
        <f t="shared" si="2"/>
        <v>0</v>
      </c>
      <c r="P27" s="102">
        <f t="shared" si="2"/>
        <v>1.8980827999556951E-13</v>
      </c>
      <c r="Q27" s="102">
        <f t="shared" si="2"/>
        <v>3.1101056722921741E-12</v>
      </c>
      <c r="R27" s="102">
        <f t="shared" si="2"/>
        <v>5.3510030256881605E-8</v>
      </c>
      <c r="S27" s="102">
        <f t="shared" si="2"/>
        <v>1.2540975086388666E-7</v>
      </c>
      <c r="T27" s="102">
        <f t="shared" si="2"/>
        <v>3.1354496631308008E-2</v>
      </c>
      <c r="U27" s="102">
        <f t="shared" ref="U27:U68" si="11">SUM(N27:T27)+U26</f>
        <v>6.9991316596001413E-2</v>
      </c>
    </row>
    <row r="28" spans="1:21" x14ac:dyDescent="0.2">
      <c r="A28" s="101">
        <v>3</v>
      </c>
      <c r="B28" s="101">
        <f t="shared" si="4"/>
        <v>6.2827520963537609E-13</v>
      </c>
      <c r="C28" s="101">
        <f t="shared" si="5"/>
        <v>0.42591299068908461</v>
      </c>
      <c r="D28" s="101">
        <f t="shared" si="6"/>
        <v>5.4076545266476449E-2</v>
      </c>
      <c r="E28" s="101">
        <f t="shared" si="7"/>
        <v>5.6576302688437671E-5</v>
      </c>
      <c r="F28" s="101">
        <f t="shared" si="8"/>
        <v>1.2780657765251711E-10</v>
      </c>
      <c r="G28" s="101">
        <f t="shared" si="9"/>
        <v>6.0711320064463597E-37</v>
      </c>
      <c r="H28" s="101">
        <f t="shared" si="10"/>
        <v>4.1996665087104224E-35</v>
      </c>
      <c r="L28" s="101">
        <v>1978</v>
      </c>
      <c r="M28" s="101">
        <v>16.739999999999998</v>
      </c>
      <c r="N28" s="102">
        <f t="shared" si="3"/>
        <v>0</v>
      </c>
      <c r="O28" s="102">
        <f t="shared" si="2"/>
        <v>0</v>
      </c>
      <c r="P28" s="102">
        <f t="shared" si="2"/>
        <v>3.9677445085826418E-13</v>
      </c>
      <c r="Q28" s="102">
        <f t="shared" si="2"/>
        <v>6.9480283232098059E-12</v>
      </c>
      <c r="R28" s="102">
        <f t="shared" si="2"/>
        <v>1.067291362740543E-7</v>
      </c>
      <c r="S28" s="102">
        <f t="shared" si="2"/>
        <v>3.2285184517464356E-7</v>
      </c>
      <c r="T28" s="102">
        <f t="shared" si="2"/>
        <v>4.0771649452551101E-2</v>
      </c>
      <c r="U28" s="102">
        <f t="shared" si="11"/>
        <v>0.11076339563687876</v>
      </c>
    </row>
    <row r="29" spans="1:21" x14ac:dyDescent="0.2">
      <c r="A29" s="101">
        <v>4</v>
      </c>
      <c r="B29" s="101">
        <f t="shared" si="4"/>
        <v>0</v>
      </c>
      <c r="C29" s="101">
        <f t="shared" si="5"/>
        <v>0.28835102508475363</v>
      </c>
      <c r="D29" s="101">
        <f t="shared" si="6"/>
        <v>0.21427932388845863</v>
      </c>
      <c r="E29" s="101">
        <f t="shared" si="7"/>
        <v>3.4942718794207781E-3</v>
      </c>
      <c r="F29" s="101">
        <f t="shared" si="8"/>
        <v>2.0885711935212177E-7</v>
      </c>
      <c r="G29" s="101">
        <f t="shared" si="9"/>
        <v>4.3294793243908196E-27</v>
      </c>
      <c r="H29" s="101">
        <f t="shared" si="10"/>
        <v>9.6006767661550975E-28</v>
      </c>
      <c r="L29" s="101">
        <v>1979</v>
      </c>
      <c r="M29" s="101">
        <v>18.46</v>
      </c>
      <c r="N29" s="102">
        <f t="shared" si="3"/>
        <v>0</v>
      </c>
      <c r="O29" s="102">
        <f t="shared" si="2"/>
        <v>0</v>
      </c>
      <c r="P29" s="102">
        <f t="shared" si="2"/>
        <v>8.2428361289210831E-13</v>
      </c>
      <c r="Q29" s="102">
        <f t="shared" si="2"/>
        <v>1.5343329420034717E-11</v>
      </c>
      <c r="R29" s="102">
        <f t="shared" si="2"/>
        <v>2.0950451968652769E-7</v>
      </c>
      <c r="S29" s="102">
        <f t="shared" si="2"/>
        <v>8.1071608304305397E-7</v>
      </c>
      <c r="T29" s="102">
        <f t="shared" si="2"/>
        <v>5.1447401489924251E-2</v>
      </c>
      <c r="U29" s="102">
        <f t="shared" si="11"/>
        <v>0.16221181736357335</v>
      </c>
    </row>
    <row r="30" spans="1:21" x14ac:dyDescent="0.2">
      <c r="A30" s="101">
        <v>5</v>
      </c>
      <c r="B30" s="101">
        <f t="shared" si="4"/>
        <v>0</v>
      </c>
      <c r="C30" s="101">
        <f t="shared" si="5"/>
        <v>0.10590673254243921</v>
      </c>
      <c r="D30" s="101">
        <f t="shared" si="6"/>
        <v>0.28852414418532146</v>
      </c>
      <c r="E30" s="101">
        <f t="shared" si="7"/>
        <v>3.3518103732292762E-2</v>
      </c>
      <c r="F30" s="101">
        <f t="shared" si="8"/>
        <v>2.2216881308423462E-5</v>
      </c>
      <c r="G30" s="101">
        <f t="shared" si="9"/>
        <v>1.4990250200157888E-20</v>
      </c>
      <c r="H30" s="101">
        <f t="shared" si="10"/>
        <v>1.1598201516974067E-22</v>
      </c>
      <c r="L30" s="101">
        <v>1980</v>
      </c>
      <c r="M30" s="101">
        <v>16.77</v>
      </c>
      <c r="N30" s="102">
        <f t="shared" si="3"/>
        <v>0</v>
      </c>
      <c r="O30" s="102">
        <f t="shared" si="2"/>
        <v>0</v>
      </c>
      <c r="P30" s="102">
        <f t="shared" si="2"/>
        <v>1.4224622124054939E-12</v>
      </c>
      <c r="Q30" s="102">
        <f t="shared" si="2"/>
        <v>2.8114657492935736E-11</v>
      </c>
      <c r="R30" s="102">
        <f t="shared" si="2"/>
        <v>3.396387370696258E-7</v>
      </c>
      <c r="S30" s="102">
        <f t="shared" si="2"/>
        <v>1.6650165285121932E-6</v>
      </c>
      <c r="T30" s="102">
        <f t="shared" si="2"/>
        <v>5.282277700356177E-2</v>
      </c>
      <c r="U30" s="102">
        <f t="shared" si="11"/>
        <v>0.21503659905193781</v>
      </c>
    </row>
    <row r="31" spans="1:21" x14ac:dyDescent="0.2">
      <c r="A31" s="101">
        <v>6</v>
      </c>
      <c r="B31" s="101">
        <f t="shared" si="4"/>
        <v>0</v>
      </c>
      <c r="C31" s="101">
        <f t="shared" si="5"/>
        <v>3.0489940590499476E-2</v>
      </c>
      <c r="D31" s="101">
        <f t="shared" si="6"/>
        <v>0.22036467670577609</v>
      </c>
      <c r="E31" s="101">
        <f t="shared" si="7"/>
        <v>0.11087761995952758</v>
      </c>
      <c r="F31" s="101">
        <f t="shared" si="8"/>
        <v>4.9563232919598652E-4</v>
      </c>
      <c r="G31" s="101">
        <f t="shared" si="9"/>
        <v>6.3867277918868306E-16</v>
      </c>
      <c r="H31" s="101">
        <f t="shared" si="10"/>
        <v>6.4779586857428662E-19</v>
      </c>
      <c r="L31" s="101">
        <v>1981</v>
      </c>
      <c r="M31" s="101">
        <v>17.64</v>
      </c>
      <c r="N31" s="102">
        <f t="shared" si="3"/>
        <v>0</v>
      </c>
      <c r="O31" s="102">
        <f t="shared" si="2"/>
        <v>0</v>
      </c>
      <c r="P31" s="102">
        <f t="shared" si="2"/>
        <v>2.8656731511788128E-12</v>
      </c>
      <c r="Q31" s="102">
        <f t="shared" si="2"/>
        <v>6.0085583369347503E-11</v>
      </c>
      <c r="R31" s="102">
        <f t="shared" si="2"/>
        <v>6.3902013208078652E-7</v>
      </c>
      <c r="S31" s="102">
        <f t="shared" si="2"/>
        <v>3.9265961716131091E-6</v>
      </c>
      <c r="T31" s="102">
        <f t="shared" si="2"/>
        <v>6.1960995668807896E-2</v>
      </c>
      <c r="U31" s="102">
        <f t="shared" si="11"/>
        <v>0.27700216040000064</v>
      </c>
    </row>
    <row r="32" spans="1:21" x14ac:dyDescent="0.2">
      <c r="A32" s="101">
        <v>7</v>
      </c>
      <c r="B32" s="101">
        <f t="shared" si="4"/>
        <v>0</v>
      </c>
      <c r="C32" s="101">
        <f t="shared" si="5"/>
        <v>8.0083116196066895E-3</v>
      </c>
      <c r="D32" s="101">
        <f t="shared" si="6"/>
        <v>0.12327519938061327</v>
      </c>
      <c r="E32" s="101">
        <f t="shared" si="7"/>
        <v>0.18958338919483497</v>
      </c>
      <c r="F32" s="101">
        <f t="shared" si="8"/>
        <v>4.0919518661415126E-3</v>
      </c>
      <c r="G32" s="101">
        <f t="shared" si="9"/>
        <v>1.6608065411016713E-12</v>
      </c>
      <c r="H32" s="101">
        <f t="shared" si="10"/>
        <v>4.9585151265730112E-16</v>
      </c>
      <c r="L32" s="101">
        <v>1982</v>
      </c>
      <c r="M32" s="101">
        <v>16.649999999999999</v>
      </c>
      <c r="N32" s="102">
        <f t="shared" si="3"/>
        <v>0</v>
      </c>
      <c r="O32" s="102">
        <f t="shared" si="2"/>
        <v>0</v>
      </c>
      <c r="P32" s="102">
        <f t="shared" si="2"/>
        <v>5.2301051700890831E-12</v>
      </c>
      <c r="Q32" s="102">
        <f t="shared" si="2"/>
        <v>1.1608065884042264E-10</v>
      </c>
      <c r="R32" s="102">
        <f t="shared" si="2"/>
        <v>1.0811325961484715E-6</v>
      </c>
      <c r="S32" s="102">
        <f t="shared" si="2"/>
        <v>8.2303496500218036E-6</v>
      </c>
      <c r="T32" s="102">
        <f t="shared" si="2"/>
        <v>6.4275228599932219E-2</v>
      </c>
      <c r="U32" s="102">
        <f t="shared" si="11"/>
        <v>0.34128670060348981</v>
      </c>
    </row>
    <row r="33" spans="1:21" x14ac:dyDescent="0.2">
      <c r="A33" s="101">
        <v>8</v>
      </c>
      <c r="B33" s="101">
        <f t="shared" si="4"/>
        <v>0</v>
      </c>
      <c r="C33" s="101">
        <f t="shared" si="5"/>
        <v>2.0539763123273991E-3</v>
      </c>
      <c r="D33" s="101">
        <f t="shared" si="6"/>
        <v>5.7765808046827072E-2</v>
      </c>
      <c r="E33" s="101">
        <f t="shared" si="7"/>
        <v>0.21146015840331089</v>
      </c>
      <c r="F33" s="101">
        <f t="shared" si="8"/>
        <v>1.7208387756197086E-2</v>
      </c>
      <c r="G33" s="101">
        <f t="shared" si="9"/>
        <v>6.4525933491247916E-10</v>
      </c>
      <c r="H33" s="101">
        <f t="shared" si="10"/>
        <v>9.607112372651153E-14</v>
      </c>
      <c r="L33" s="101">
        <v>1983</v>
      </c>
      <c r="M33" s="101">
        <v>19.190000000000001</v>
      </c>
      <c r="N33" s="102">
        <f t="shared" si="3"/>
        <v>0</v>
      </c>
      <c r="O33" s="102">
        <f t="shared" si="2"/>
        <v>2.0493763684660068E-15</v>
      </c>
      <c r="P33" s="102">
        <f t="shared" si="2"/>
        <v>1.1766340578886028E-11</v>
      </c>
      <c r="Q33" s="102">
        <f t="shared" si="2"/>
        <v>2.7589121936177693E-10</v>
      </c>
      <c r="R33" s="102">
        <f t="shared" si="2"/>
        <v>2.2376777098661214E-6</v>
      </c>
      <c r="S33" s="102">
        <f t="shared" si="2"/>
        <v>2.0836686142084747E-5</v>
      </c>
      <c r="T33" s="102">
        <f t="shared" si="2"/>
        <v>8.0139017625657435E-2</v>
      </c>
      <c r="U33" s="102">
        <f t="shared" si="11"/>
        <v>0.42144879288065884</v>
      </c>
    </row>
    <row r="34" spans="1:21" x14ac:dyDescent="0.2">
      <c r="A34" s="101">
        <v>9</v>
      </c>
      <c r="B34" s="101">
        <f t="shared" si="4"/>
        <v>0</v>
      </c>
      <c r="C34" s="101">
        <f t="shared" si="5"/>
        <v>5.3132002080058527E-4</v>
      </c>
      <c r="D34" s="101">
        <f t="shared" si="6"/>
        <v>2.44318017128482E-2</v>
      </c>
      <c r="E34" s="101">
        <f t="shared" si="7"/>
        <v>0.17724771523556326</v>
      </c>
      <c r="F34" s="101">
        <f t="shared" si="8"/>
        <v>4.4927008508861943E-2</v>
      </c>
      <c r="G34" s="101">
        <f t="shared" si="9"/>
        <v>6.4457680562370993E-8</v>
      </c>
      <c r="H34" s="101">
        <f t="shared" si="10"/>
        <v>6.8639126452731785E-12</v>
      </c>
      <c r="L34" s="101">
        <v>1984</v>
      </c>
      <c r="M34" s="101">
        <v>20.56</v>
      </c>
      <c r="N34" s="102">
        <f t="shared" si="3"/>
        <v>0</v>
      </c>
      <c r="O34" s="102">
        <f t="shared" si="2"/>
        <v>4.3913682267494621E-15</v>
      </c>
      <c r="P34" s="102">
        <f t="shared" si="2"/>
        <v>2.4847679739286341E-11</v>
      </c>
      <c r="Q34" s="102">
        <f t="shared" si="2"/>
        <v>6.1415785067580637E-10</v>
      </c>
      <c r="R34" s="102">
        <f t="shared" si="2"/>
        <v>4.3120799366066635E-6</v>
      </c>
      <c r="S34" s="102">
        <f t="shared" si="2"/>
        <v>4.84316085737435E-5</v>
      </c>
      <c r="T34" s="102">
        <f t="shared" si="2"/>
        <v>9.1297084827346636E-2</v>
      </c>
      <c r="U34" s="102">
        <f t="shared" si="11"/>
        <v>0.51279862203552573</v>
      </c>
    </row>
    <row r="35" spans="1:21" x14ac:dyDescent="0.2">
      <c r="A35" s="101">
        <v>10</v>
      </c>
      <c r="B35" s="101">
        <f t="shared" si="4"/>
        <v>0</v>
      </c>
      <c r="C35" s="101">
        <f t="shared" si="5"/>
        <v>1.4082012525529208E-4</v>
      </c>
      <c r="D35" s="101">
        <f t="shared" si="6"/>
        <v>9.7436572325981796E-3</v>
      </c>
      <c r="E35" s="101">
        <f t="shared" si="7"/>
        <v>0.12211274058166144</v>
      </c>
      <c r="F35" s="101">
        <f t="shared" si="8"/>
        <v>8.2906295263117769E-2</v>
      </c>
      <c r="G35" s="101">
        <f t="shared" si="9"/>
        <v>2.3477861324944028E-6</v>
      </c>
      <c r="H35" s="101">
        <f t="shared" si="10"/>
        <v>2.3119564917057519E-10</v>
      </c>
      <c r="L35" s="101">
        <v>1985</v>
      </c>
      <c r="M35" s="101">
        <v>21.58</v>
      </c>
      <c r="N35" s="102">
        <f t="shared" si="3"/>
        <v>0</v>
      </c>
      <c r="O35" s="102">
        <f t="shared" si="2"/>
        <v>9.4105070329308862E-15</v>
      </c>
      <c r="P35" s="102">
        <f t="shared" si="2"/>
        <v>5.1923243430619077E-11</v>
      </c>
      <c r="Q35" s="102">
        <f t="shared" si="2"/>
        <v>1.3496083572396141E-9</v>
      </c>
      <c r="R35" s="102">
        <f t="shared" si="2"/>
        <v>8.1506654285217648E-6</v>
      </c>
      <c r="S35" s="102">
        <f t="shared" si="2"/>
        <v>1.0873555148183437E-4</v>
      </c>
      <c r="T35" s="102">
        <f t="shared" si="2"/>
        <v>0.10000129356979626</v>
      </c>
      <c r="U35" s="102">
        <f t="shared" si="11"/>
        <v>0.6129168032237734</v>
      </c>
    </row>
    <row r="36" spans="1:21" x14ac:dyDescent="0.2">
      <c r="A36" s="101">
        <v>11</v>
      </c>
      <c r="B36" s="101">
        <f t="shared" si="4"/>
        <v>0</v>
      </c>
      <c r="C36" s="101">
        <f t="shared" si="5"/>
        <v>3.8528920554448121E-5</v>
      </c>
      <c r="D36" s="101">
        <f t="shared" si="6"/>
        <v>3.7632357894253898E-3</v>
      </c>
      <c r="E36" s="101">
        <f t="shared" si="7"/>
        <v>7.3331528649831723E-2</v>
      </c>
      <c r="F36" s="101">
        <f t="shared" si="8"/>
        <v>0.11814115644266357</v>
      </c>
      <c r="G36" s="101">
        <f t="shared" si="9"/>
        <v>3.9486062277611102E-5</v>
      </c>
      <c r="H36" s="101">
        <f t="shared" si="10"/>
        <v>4.3455668916491044E-9</v>
      </c>
      <c r="L36" s="101">
        <v>1986</v>
      </c>
      <c r="M36" s="101">
        <v>22.93</v>
      </c>
      <c r="N36" s="102">
        <f t="shared" si="3"/>
        <v>0</v>
      </c>
      <c r="O36" s="102">
        <f t="shared" si="2"/>
        <v>2.0202483119522439E-14</v>
      </c>
      <c r="P36" s="102">
        <f t="shared" si="2"/>
        <v>1.109891935246362E-10</v>
      </c>
      <c r="Q36" s="102">
        <f t="shared" si="2"/>
        <v>3.0254296835920779E-9</v>
      </c>
      <c r="R36" s="102">
        <f t="shared" si="2"/>
        <v>1.5609531944923608E-5</v>
      </c>
      <c r="S36" s="102">
        <f t="shared" si="2"/>
        <v>2.4320340762018326E-4</v>
      </c>
      <c r="T36" s="102">
        <f t="shared" si="2"/>
        <v>0.10864043580096264</v>
      </c>
      <c r="U36" s="102">
        <f t="shared" si="11"/>
        <v>0.72181605510074021</v>
      </c>
    </row>
    <row r="37" spans="1:21" x14ac:dyDescent="0.2">
      <c r="A37" s="101">
        <v>12</v>
      </c>
      <c r="B37" s="101">
        <f t="shared" si="4"/>
        <v>0</v>
      </c>
      <c r="C37" s="101">
        <f t="shared" si="5"/>
        <v>1.0917551772071654E-5</v>
      </c>
      <c r="D37" s="101">
        <f t="shared" si="6"/>
        <v>1.4314432311033354E-3</v>
      </c>
      <c r="E37" s="101">
        <f t="shared" si="7"/>
        <v>3.9943081978968231E-2</v>
      </c>
      <c r="F37" s="101">
        <f t="shared" si="8"/>
        <v>0.13833825933585875</v>
      </c>
      <c r="G37" s="101">
        <f t="shared" si="9"/>
        <v>3.6222783538701202E-4</v>
      </c>
      <c r="H37" s="101">
        <f t="shared" si="10"/>
        <v>5.1415073732539716E-8</v>
      </c>
      <c r="L37" s="101">
        <v>1987</v>
      </c>
      <c r="M37" s="101">
        <v>25.37</v>
      </c>
      <c r="N37" s="102">
        <f t="shared" si="3"/>
        <v>0</v>
      </c>
      <c r="O37" s="102">
        <f t="shared" si="2"/>
        <v>4.7188074517145912E-14</v>
      </c>
      <c r="P37" s="102">
        <f t="shared" si="2"/>
        <v>2.4969369825447539E-10</v>
      </c>
      <c r="Q37" s="102">
        <f t="shared" si="2"/>
        <v>7.116559949645178E-9</v>
      </c>
      <c r="R37" s="102">
        <f t="shared" si="2"/>
        <v>3.1139973762737512E-5</v>
      </c>
      <c r="S37" s="102">
        <f t="shared" si="2"/>
        <v>5.5619550157653182E-4</v>
      </c>
      <c r="T37" s="102">
        <f t="shared" si="2"/>
        <v>0.12017883313396152</v>
      </c>
      <c r="U37" s="102">
        <f t="shared" si="11"/>
        <v>0.84258223107634178</v>
      </c>
    </row>
    <row r="38" spans="1:21" x14ac:dyDescent="0.2">
      <c r="A38" s="101">
        <v>13</v>
      </c>
      <c r="B38" s="101">
        <f t="shared" si="4"/>
        <v>0</v>
      </c>
      <c r="C38" s="101">
        <f t="shared" si="5"/>
        <v>3.2068832306331174E-6</v>
      </c>
      <c r="D38" s="101">
        <f t="shared" si="6"/>
        <v>5.4208132429456324E-4</v>
      </c>
      <c r="E38" s="101">
        <f t="shared" si="7"/>
        <v>2.0287098660604297E-2</v>
      </c>
      <c r="F38" s="101">
        <f t="shared" si="8"/>
        <v>0.13920686777746971</v>
      </c>
      <c r="G38" s="101">
        <f t="shared" si="9"/>
        <v>2.0472666959303878E-3</v>
      </c>
      <c r="H38" s="101">
        <f t="shared" si="10"/>
        <v>4.1850748092382948E-7</v>
      </c>
      <c r="L38" s="101">
        <v>1988</v>
      </c>
      <c r="M38" s="101">
        <v>26.62</v>
      </c>
      <c r="N38" s="102">
        <f t="shared" si="3"/>
        <v>0</v>
      </c>
      <c r="O38" s="102">
        <f t="shared" si="2"/>
        <v>1.0471184786531948E-13</v>
      </c>
      <c r="P38" s="102">
        <f t="shared" si="2"/>
        <v>5.386321126273678E-10</v>
      </c>
      <c r="Q38" s="102">
        <f t="shared" si="2"/>
        <v>1.5998024314192101E-8</v>
      </c>
      <c r="R38" s="102">
        <f t="shared" si="2"/>
        <v>5.8905295155770592E-5</v>
      </c>
      <c r="S38" s="102">
        <f t="shared" si="2"/>
        <v>1.1816732215144355E-3</v>
      </c>
      <c r="T38" s="102">
        <f t="shared" si="2"/>
        <v>0.12302720165050571</v>
      </c>
      <c r="U38" s="102">
        <f t="shared" si="11"/>
        <v>0.96685002778027884</v>
      </c>
    </row>
    <row r="39" spans="1:21" x14ac:dyDescent="0.2">
      <c r="A39" s="101">
        <v>14</v>
      </c>
      <c r="B39" s="101">
        <f t="shared" si="4"/>
        <v>0</v>
      </c>
      <c r="C39" s="101">
        <f t="shared" si="5"/>
        <v>9.7616058880589662E-7</v>
      </c>
      <c r="D39" s="101">
        <f t="shared" si="6"/>
        <v>2.058304997037963E-4</v>
      </c>
      <c r="E39" s="101">
        <f t="shared" si="7"/>
        <v>9.7986235471422267E-3</v>
      </c>
      <c r="F39" s="101">
        <f t="shared" si="8"/>
        <v>0.12441697658789841</v>
      </c>
      <c r="G39" s="101">
        <f t="shared" si="9"/>
        <v>7.8130531133507198E-3</v>
      </c>
      <c r="H39" s="101">
        <f t="shared" si="10"/>
        <v>2.50661643335438E-6</v>
      </c>
      <c r="L39" s="101">
        <v>1989</v>
      </c>
      <c r="M39" s="101">
        <v>27.13</v>
      </c>
      <c r="N39" s="102">
        <f t="shared" si="3"/>
        <v>0</v>
      </c>
      <c r="O39" s="102">
        <f t="shared" si="2"/>
        <v>2.2888832148213322E-13</v>
      </c>
      <c r="P39" s="102">
        <f t="shared" si="2"/>
        <v>1.1414888557380919E-9</v>
      </c>
      <c r="Q39" s="102">
        <f t="shared" si="2"/>
        <v>3.5200382306974058E-8</v>
      </c>
      <c r="R39" s="102">
        <f t="shared" si="2"/>
        <v>1.0814630734820947E-4</v>
      </c>
      <c r="S39" s="102">
        <f t="shared" si="2"/>
        <v>2.3821503244279671E-3</v>
      </c>
      <c r="T39" s="102">
        <f t="shared" si="2"/>
        <v>0.11908677282113557</v>
      </c>
      <c r="U39" s="102">
        <f t="shared" si="11"/>
        <v>1.0884271335752906</v>
      </c>
    </row>
    <row r="40" spans="1:21" x14ac:dyDescent="0.2">
      <c r="A40" s="101">
        <v>15</v>
      </c>
      <c r="B40" s="101">
        <f t="shared" si="4"/>
        <v>0</v>
      </c>
      <c r="C40" s="101">
        <f t="shared" si="5"/>
        <v>3.0761620151142921E-7</v>
      </c>
      <c r="D40" s="101">
        <f t="shared" si="6"/>
        <v>7.8729524721543598E-5</v>
      </c>
      <c r="E40" s="101">
        <f t="shared" si="7"/>
        <v>4.5652957844599662E-3</v>
      </c>
      <c r="F40" s="101">
        <f t="shared" si="8"/>
        <v>0.10123953614195358</v>
      </c>
      <c r="G40" s="101">
        <f t="shared" si="9"/>
        <v>2.1604030740197191E-2</v>
      </c>
      <c r="H40" s="101">
        <f t="shared" si="10"/>
        <v>1.1636104771307735E-5</v>
      </c>
      <c r="L40" s="101">
        <v>1990</v>
      </c>
      <c r="M40" s="101">
        <v>28.65</v>
      </c>
      <c r="N40" s="102">
        <f t="shared" si="3"/>
        <v>0</v>
      </c>
      <c r="O40" s="102">
        <f t="shared" si="2"/>
        <v>5.2702425882052751E-13</v>
      </c>
      <c r="P40" s="102">
        <f t="shared" si="2"/>
        <v>2.5361691684671034E-9</v>
      </c>
      <c r="Q40" s="102">
        <f t="shared" si="2"/>
        <v>8.0865640018059175E-8</v>
      </c>
      <c r="R40" s="102">
        <f t="shared" si="2"/>
        <v>2.054257160169753E-4</v>
      </c>
      <c r="S40" s="102">
        <f t="shared" si="2"/>
        <v>4.8458311166848156E-3</v>
      </c>
      <c r="T40" s="102">
        <f t="shared" si="2"/>
        <v>0.11596795271344787</v>
      </c>
      <c r="U40" s="102">
        <f t="shared" si="11"/>
        <v>1.2094464265237765</v>
      </c>
    </row>
    <row r="41" spans="1:21" x14ac:dyDescent="0.2">
      <c r="A41" s="101">
        <v>16</v>
      </c>
      <c r="B41" s="101">
        <f t="shared" si="4"/>
        <v>0</v>
      </c>
      <c r="C41" s="101">
        <f t="shared" si="5"/>
        <v>1.0022293805977966E-7</v>
      </c>
      <c r="D41" s="101">
        <f t="shared" si="6"/>
        <v>3.0428622901035318E-5</v>
      </c>
      <c r="E41" s="101">
        <f t="shared" si="7"/>
        <v>2.0734584573909309E-3</v>
      </c>
      <c r="F41" s="101">
        <f t="shared" si="8"/>
        <v>7.643241947469126E-2</v>
      </c>
      <c r="G41" s="101">
        <f t="shared" si="9"/>
        <v>4.5738443274908724E-2</v>
      </c>
      <c r="H41" s="101">
        <f t="shared" si="10"/>
        <v>4.3611377064537112E-5</v>
      </c>
      <c r="L41" s="101">
        <v>1991</v>
      </c>
      <c r="M41" s="101">
        <v>28.93</v>
      </c>
      <c r="N41" s="102">
        <f t="shared" si="3"/>
        <v>0</v>
      </c>
      <c r="O41" s="102">
        <f t="shared" si="3"/>
        <v>1.1791781274792634E-12</v>
      </c>
      <c r="P41" s="102">
        <f t="shared" si="3"/>
        <v>5.4536260136215813E-9</v>
      </c>
      <c r="Q41" s="102">
        <f t="shared" si="3"/>
        <v>1.7897135832431957E-7</v>
      </c>
      <c r="R41" s="102">
        <f t="shared" si="3"/>
        <v>3.7224771493809156E-4</v>
      </c>
      <c r="S41" s="102">
        <f t="shared" si="3"/>
        <v>9.146834232667371E-3</v>
      </c>
      <c r="T41" s="102">
        <f t="shared" si="3"/>
        <v>0.10452957733870738</v>
      </c>
      <c r="U41" s="102">
        <f t="shared" si="11"/>
        <v>1.3234952702362528</v>
      </c>
    </row>
    <row r="42" spans="1:21" x14ac:dyDescent="0.2">
      <c r="A42" s="101">
        <v>17</v>
      </c>
      <c r="B42" s="101">
        <f t="shared" si="4"/>
        <v>0</v>
      </c>
      <c r="C42" s="101">
        <f t="shared" si="5"/>
        <v>3.3709107061241639E-8</v>
      </c>
      <c r="D42" s="101">
        <f t="shared" si="6"/>
        <v>1.1907231721175471E-5</v>
      </c>
      <c r="E42" s="101">
        <f>_xlfn.LOGNORM.DIST($A42,$G$17,$H$17,TRUE)-_xlfn.LOGNORM.DIST($A41,$G$17,$H$17,TRUE)</f>
        <v>9.2524053677256468E-4</v>
      </c>
      <c r="F42" s="101">
        <f t="shared" si="8"/>
        <v>5.4327221642766599E-2</v>
      </c>
      <c r="G42" s="101">
        <f t="shared" si="9"/>
        <v>7.7462372532013518E-2</v>
      </c>
      <c r="H42" s="101">
        <f t="shared" si="10"/>
        <v>1.3633741101480985E-4</v>
      </c>
      <c r="L42" s="101">
        <v>1992</v>
      </c>
      <c r="M42" s="101">
        <v>30.76</v>
      </c>
      <c r="N42" s="102">
        <f t="shared" si="3"/>
        <v>0</v>
      </c>
      <c r="O42" s="102">
        <f t="shared" si="3"/>
        <v>2.8237163380439382E-12</v>
      </c>
      <c r="P42" s="102">
        <f t="shared" si="3"/>
        <v>1.2503114673086633E-8</v>
      </c>
      <c r="Q42" s="102">
        <f t="shared" si="3"/>
        <v>4.2014276051319096E-7</v>
      </c>
      <c r="R42" s="102">
        <f t="shared" si="3"/>
        <v>7.079100502036022E-4</v>
      </c>
      <c r="S42" s="102">
        <f t="shared" si="3"/>
        <v>1.7570509252776579E-2</v>
      </c>
      <c r="T42" s="102">
        <f t="shared" si="3"/>
        <v>9.5711151646867637E-2</v>
      </c>
      <c r="U42" s="102">
        <f t="shared" si="11"/>
        <v>1.4374852738347994</v>
      </c>
    </row>
    <row r="43" spans="1:21" x14ac:dyDescent="0.2">
      <c r="A43" s="101">
        <v>18</v>
      </c>
      <c r="B43" s="101">
        <f t="shared" si="4"/>
        <v>0</v>
      </c>
      <c r="C43" s="101">
        <f t="shared" si="5"/>
        <v>1.1686403733612849E-8</v>
      </c>
      <c r="D43" s="101">
        <f t="shared" si="6"/>
        <v>4.7235747435703246E-6</v>
      </c>
      <c r="E43" s="101">
        <f t="shared" si="7"/>
        <v>4.0806047405106405E-4</v>
      </c>
      <c r="F43" s="101">
        <f t="shared" si="8"/>
        <v>3.677534574106045E-2</v>
      </c>
      <c r="G43" s="101">
        <f t="shared" si="9"/>
        <v>0.10870725463362152</v>
      </c>
      <c r="H43" s="101">
        <f t="shared" si="10"/>
        <v>3.6499571056137863E-4</v>
      </c>
      <c r="L43" s="101">
        <v>1993</v>
      </c>
      <c r="M43" s="101">
        <v>32.32</v>
      </c>
      <c r="N43" s="102">
        <f t="shared" si="3"/>
        <v>0</v>
      </c>
      <c r="O43" s="102">
        <f t="shared" si="3"/>
        <v>6.7987521714289114E-12</v>
      </c>
      <c r="P43" s="102">
        <f t="shared" si="3"/>
        <v>2.8692751705563904E-8</v>
      </c>
      <c r="Q43" s="102">
        <f t="shared" si="3"/>
        <v>9.8159292637627577E-7</v>
      </c>
      <c r="R43" s="102">
        <f t="shared" si="3"/>
        <v>1.3244045358300981E-3</v>
      </c>
      <c r="S43" s="102">
        <f t="shared" si="3"/>
        <v>3.2086981229597564E-2</v>
      </c>
      <c r="T43" s="102">
        <f t="shared" si="3"/>
        <v>8.3229040865178405E-2</v>
      </c>
      <c r="U43" s="102">
        <f t="shared" si="11"/>
        <v>1.5541267107578822</v>
      </c>
    </row>
    <row r="44" spans="1:21" x14ac:dyDescent="0.2">
      <c r="A44" s="101">
        <v>19</v>
      </c>
      <c r="B44" s="101">
        <f t="shared" si="4"/>
        <v>0</v>
      </c>
      <c r="C44" s="101">
        <f t="shared" si="5"/>
        <v>4.1697074681934509E-9</v>
      </c>
      <c r="D44" s="101">
        <f t="shared" si="6"/>
        <v>1.9010295431165503E-6</v>
      </c>
      <c r="E44" s="101">
        <f t="shared" si="7"/>
        <v>1.7867824817985323E-4</v>
      </c>
      <c r="F44" s="101">
        <f t="shared" si="8"/>
        <v>2.3925103212443677E-2</v>
      </c>
      <c r="G44" s="101">
        <f t="shared" si="9"/>
        <v>0.13007935826436767</v>
      </c>
      <c r="H44" s="101">
        <f t="shared" si="10"/>
        <v>8.5499214817090171E-4</v>
      </c>
      <c r="L44" s="101">
        <v>1994</v>
      </c>
      <c r="M44" s="101">
        <v>35.79</v>
      </c>
      <c r="N44" s="102">
        <f t="shared" si="3"/>
        <v>0</v>
      </c>
      <c r="O44" s="102">
        <f t="shared" si="3"/>
        <v>1.7568223118823224E-11</v>
      </c>
      <c r="P44" s="102">
        <f t="shared" si="3"/>
        <v>7.0318075688629728E-8</v>
      </c>
      <c r="Q44" s="102">
        <f t="shared" si="3"/>
        <v>2.4333269688683596E-6</v>
      </c>
      <c r="R44" s="102">
        <f t="shared" si="3"/>
        <v>2.5961103087165558E-3</v>
      </c>
      <c r="S44" s="102">
        <f t="shared" si="3"/>
        <v>5.9094643404082686E-2</v>
      </c>
      <c r="T44" s="102">
        <f t="shared" si="3"/>
        <v>7.2985742642114312E-2</v>
      </c>
      <c r="U44" s="102">
        <f t="shared" si="11"/>
        <v>1.6888057107754086</v>
      </c>
    </row>
    <row r="45" spans="1:21" x14ac:dyDescent="0.2">
      <c r="A45" s="101">
        <v>20</v>
      </c>
      <c r="B45" s="101">
        <f t="shared" si="4"/>
        <v>0</v>
      </c>
      <c r="C45" s="101">
        <f t="shared" si="5"/>
        <v>1.5289044474897651E-9</v>
      </c>
      <c r="D45" s="101">
        <f t="shared" si="6"/>
        <v>7.7649278040770042E-7</v>
      </c>
      <c r="E45" s="101">
        <f t="shared" si="7"/>
        <v>7.7948550844975095E-5</v>
      </c>
      <c r="F45" s="101">
        <f t="shared" si="8"/>
        <v>1.5068947912375452E-2</v>
      </c>
      <c r="G45" s="101">
        <f t="shared" si="9"/>
        <v>0.135870919313825</v>
      </c>
      <c r="H45" s="101">
        <f t="shared" si="10"/>
        <v>1.7838205060961387E-3</v>
      </c>
      <c r="L45" s="101">
        <v>1995</v>
      </c>
      <c r="M45" s="101">
        <v>36.020000000000003</v>
      </c>
      <c r="N45" s="102">
        <f t="shared" si="3"/>
        <v>0</v>
      </c>
      <c r="O45" s="102">
        <f t="shared" si="3"/>
        <v>4.2052011082178349E-11</v>
      </c>
      <c r="P45" s="102">
        <f t="shared" si="3"/>
        <v>1.5876254889693256E-7</v>
      </c>
      <c r="Q45" s="102">
        <f t="shared" si="3"/>
        <v>5.5169203537155464E-6</v>
      </c>
      <c r="R45" s="102">
        <f t="shared" si="3"/>
        <v>4.5905989225770187E-3</v>
      </c>
      <c r="S45" s="102">
        <f t="shared" si="3"/>
        <v>9.4071223897235073E-2</v>
      </c>
      <c r="T45" s="102">
        <f t="shared" si="3"/>
        <v>5.5382257866030508E-2</v>
      </c>
      <c r="U45" s="102">
        <f t="shared" si="11"/>
        <v>1.8428554671862059</v>
      </c>
    </row>
    <row r="46" spans="1:21" x14ac:dyDescent="0.2">
      <c r="A46" s="101">
        <v>21</v>
      </c>
      <c r="B46" s="101">
        <f t="shared" si="4"/>
        <v>0</v>
      </c>
      <c r="C46" s="101">
        <f t="shared" si="5"/>
        <v>5.7529914165854734E-10</v>
      </c>
      <c r="D46" s="101">
        <f t="shared" si="6"/>
        <v>3.2194430155119136E-7</v>
      </c>
      <c r="E46" s="101">
        <f t="shared" si="7"/>
        <v>3.3970556775009264E-5</v>
      </c>
      <c r="F46" s="101">
        <f t="shared" si="8"/>
        <v>9.242997583902679E-3</v>
      </c>
      <c r="G46" s="101">
        <f t="shared" si="9"/>
        <v>0.12630924991963011</v>
      </c>
      <c r="H46" s="101">
        <f t="shared" si="10"/>
        <v>3.3641789979861783E-3</v>
      </c>
      <c r="L46" s="101">
        <v>1996</v>
      </c>
      <c r="M46" s="101">
        <v>39.28</v>
      </c>
      <c r="N46" s="102">
        <f t="shared" si="3"/>
        <v>0</v>
      </c>
      <c r="O46" s="102">
        <f t="shared" si="3"/>
        <v>1.1127165207885902E-10</v>
      </c>
      <c r="P46" s="102">
        <f t="shared" si="3"/>
        <v>3.9384269297188095E-7</v>
      </c>
      <c r="Q46" s="102">
        <f t="shared" si="3"/>
        <v>1.363074648970193E-5</v>
      </c>
      <c r="R46" s="102">
        <f t="shared" si="3"/>
        <v>8.7132601115682187E-3</v>
      </c>
      <c r="S46" s="102">
        <f t="shared" si="3"/>
        <v>0.153218611863983</v>
      </c>
      <c r="T46" s="102">
        <f t="shared" si="3"/>
        <v>4.3106011946761433E-2</v>
      </c>
      <c r="U46" s="102">
        <f t="shared" si="11"/>
        <v>2.0479073758089728</v>
      </c>
    </row>
    <row r="47" spans="1:21" x14ac:dyDescent="0.2">
      <c r="A47" s="101">
        <v>22</v>
      </c>
      <c r="B47" s="101">
        <f t="shared" si="4"/>
        <v>0</v>
      </c>
      <c r="C47" s="101">
        <f t="shared" si="5"/>
        <v>2.2185420167630809E-10</v>
      </c>
      <c r="D47" s="101">
        <f t="shared" si="6"/>
        <v>1.3549000121848565E-7</v>
      </c>
      <c r="E47" s="101">
        <f t="shared" si="7"/>
        <v>1.4820511383017987E-5</v>
      </c>
      <c r="F47" s="101">
        <f t="shared" si="8"/>
        <v>5.5480353364238955E-3</v>
      </c>
      <c r="G47" s="101">
        <f t="shared" si="9"/>
        <v>0.10620664947662051</v>
      </c>
      <c r="H47" s="101">
        <f t="shared" si="10"/>
        <v>5.8068504675122777E-3</v>
      </c>
      <c r="L47" s="101">
        <v>1997</v>
      </c>
      <c r="M47" s="101">
        <v>41.23</v>
      </c>
      <c r="N47" s="102">
        <f t="shared" si="3"/>
        <v>0</v>
      </c>
      <c r="O47" s="102">
        <f t="shared" si="3"/>
        <v>2.8941935450132371E-10</v>
      </c>
      <c r="P47" s="102">
        <f t="shared" si="3"/>
        <v>9.5389901697476521E-7</v>
      </c>
      <c r="Q47" s="102">
        <f t="shared" si="3"/>
        <v>3.2576653811715286E-5</v>
      </c>
      <c r="R47" s="102">
        <f t="shared" si="3"/>
        <v>1.5733826277803748E-2</v>
      </c>
      <c r="S47" s="102">
        <f t="shared" si="3"/>
        <v>0.22494307151597945</v>
      </c>
      <c r="T47" s="102">
        <f t="shared" si="3"/>
        <v>3.0369370984891002E-2</v>
      </c>
      <c r="U47" s="102">
        <f t="shared" si="11"/>
        <v>2.318987175429895</v>
      </c>
    </row>
    <row r="48" spans="1:21" x14ac:dyDescent="0.2">
      <c r="A48" s="101">
        <v>23</v>
      </c>
      <c r="B48" s="101">
        <f t="shared" si="4"/>
        <v>0</v>
      </c>
      <c r="C48" s="101">
        <f t="shared" si="5"/>
        <v>8.7570728446451085E-11</v>
      </c>
      <c r="D48" s="101">
        <f t="shared" si="6"/>
        <v>5.7869843472779792E-8</v>
      </c>
      <c r="E48" s="101">
        <f t="shared" si="7"/>
        <v>6.4832977939577319E-6</v>
      </c>
      <c r="F48" s="101">
        <f t="shared" si="8"/>
        <v>3.2717812337849095E-3</v>
      </c>
      <c r="G48" s="101">
        <f t="shared" si="9"/>
        <v>8.1877429094975862E-2</v>
      </c>
      <c r="H48" s="101">
        <f t="shared" si="10"/>
        <v>9.2704259326009258E-3</v>
      </c>
      <c r="L48" s="101">
        <v>1998</v>
      </c>
      <c r="M48" s="101">
        <v>42.73</v>
      </c>
      <c r="N48" s="102">
        <f t="shared" si="3"/>
        <v>0</v>
      </c>
      <c r="O48" s="102">
        <f t="shared" si="3"/>
        <v>7.598989150275308E-10</v>
      </c>
      <c r="P48" s="102">
        <f t="shared" si="3"/>
        <v>2.3146050602259138E-6</v>
      </c>
      <c r="Q48" s="102">
        <f t="shared" si="3"/>
        <v>7.7177951957367613E-5</v>
      </c>
      <c r="R48" s="102">
        <f t="shared" si="3"/>
        <v>2.7650874441022644E-2</v>
      </c>
      <c r="S48" s="102">
        <f t="shared" si="3"/>
        <v>0.30239853974684372</v>
      </c>
      <c r="T48" s="102">
        <f t="shared" si="3"/>
        <v>1.9714978559040905E-2</v>
      </c>
      <c r="U48" s="102">
        <f t="shared" si="11"/>
        <v>2.6688310614937185</v>
      </c>
    </row>
    <row r="49" spans="1:21" x14ac:dyDescent="0.2">
      <c r="A49" s="101">
        <v>24</v>
      </c>
      <c r="B49" s="101">
        <f t="shared" si="4"/>
        <v>0</v>
      </c>
      <c r="C49" s="101">
        <f t="shared" si="5"/>
        <v>3.5339287052238433E-11</v>
      </c>
      <c r="D49" s="101">
        <f t="shared" si="6"/>
        <v>2.5079250565163136E-8</v>
      </c>
      <c r="E49" s="101">
        <f t="shared" si="7"/>
        <v>2.8474164780467603E-6</v>
      </c>
      <c r="F49" s="101">
        <f t="shared" si="8"/>
        <v>1.9018332721909559E-3</v>
      </c>
      <c r="G49" s="101">
        <f t="shared" si="9"/>
        <v>5.8538953689038054E-2</v>
      </c>
      <c r="H49" s="101">
        <f t="shared" si="10"/>
        <v>1.3811587279262232E-2</v>
      </c>
      <c r="L49" s="101">
        <v>1999</v>
      </c>
      <c r="M49" s="101">
        <v>45.58</v>
      </c>
      <c r="N49" s="102">
        <f t="shared" si="3"/>
        <v>0</v>
      </c>
      <c r="O49" s="102">
        <f t="shared" si="3"/>
        <v>2.1019545459664994E-9</v>
      </c>
      <c r="P49" s="102">
        <f t="shared" si="3"/>
        <v>5.8666721908232841E-6</v>
      </c>
      <c r="Q49" s="102">
        <f t="shared" si="3"/>
        <v>1.8870097903603384E-4</v>
      </c>
      <c r="R49" s="102">
        <f t="shared" si="3"/>
        <v>4.9138729016461165E-2</v>
      </c>
      <c r="S49" s="102">
        <f t="shared" si="3"/>
        <v>0.38362293663007535</v>
      </c>
      <c r="T49" s="102">
        <f t="shared" si="3"/>
        <v>1.2183615640332143E-2</v>
      </c>
      <c r="U49" s="102">
        <f t="shared" si="11"/>
        <v>3.1139709125337687</v>
      </c>
    </row>
    <row r="50" spans="1:21" x14ac:dyDescent="0.2">
      <c r="A50" s="101">
        <v>25</v>
      </c>
      <c r="B50" s="101">
        <f t="shared" si="4"/>
        <v>0</v>
      </c>
      <c r="C50" s="101">
        <f t="shared" si="5"/>
        <v>1.4564238703940191E-11</v>
      </c>
      <c r="D50" s="101">
        <f t="shared" si="6"/>
        <v>1.1024720691921175E-8</v>
      </c>
      <c r="E50" s="101">
        <f t="shared" si="7"/>
        <v>1.2567700952148542E-6</v>
      </c>
      <c r="F50" s="101">
        <f t="shared" si="8"/>
        <v>1.0926696571522676E-3</v>
      </c>
      <c r="G50" s="101">
        <f t="shared" si="9"/>
        <v>3.9193856419036055E-2</v>
      </c>
      <c r="H50" s="101">
        <f t="shared" si="10"/>
        <v>1.9351033968880084E-2</v>
      </c>
      <c r="L50" s="101">
        <v>2000</v>
      </c>
      <c r="M50" s="101">
        <v>46.93</v>
      </c>
      <c r="N50" s="102">
        <f t="shared" si="3"/>
        <v>0</v>
      </c>
      <c r="O50" s="102">
        <f t="shared" si="3"/>
        <v>5.7515668460663948E-9</v>
      </c>
      <c r="P50" s="102">
        <f t="shared" si="3"/>
        <v>1.4568831994391061E-5</v>
      </c>
      <c r="Q50" s="102">
        <f t="shared" si="3"/>
        <v>4.4581611952151473E-4</v>
      </c>
      <c r="R50" s="102">
        <f t="shared" si="3"/>
        <v>8.2484100878445973E-2</v>
      </c>
      <c r="S50" s="102">
        <f t="shared" si="3"/>
        <v>0.42488574108956845</v>
      </c>
      <c r="T50" s="102">
        <f t="shared" si="3"/>
        <v>6.6515748101088285E-3</v>
      </c>
      <c r="U50" s="102">
        <f t="shared" si="11"/>
        <v>3.6284527200149745</v>
      </c>
    </row>
    <row r="51" spans="1:21" x14ac:dyDescent="0.2">
      <c r="A51" s="101">
        <v>26</v>
      </c>
      <c r="B51" s="101">
        <f t="shared" si="4"/>
        <v>0</v>
      </c>
      <c r="C51" s="101">
        <f t="shared" si="5"/>
        <v>6.1236571369249759E-12</v>
      </c>
      <c r="D51" s="101">
        <f t="shared" si="6"/>
        <v>4.9143775715521087E-9</v>
      </c>
      <c r="E51" s="101">
        <f t="shared" si="7"/>
        <v>5.5788104214027356E-7</v>
      </c>
      <c r="F51" s="101">
        <f t="shared" si="8"/>
        <v>6.2190591076460855E-4</v>
      </c>
      <c r="G51" s="101">
        <f t="shared" si="9"/>
        <v>2.4779430984590789E-2</v>
      </c>
      <c r="H51" s="101">
        <f t="shared" si="10"/>
        <v>2.566572634405944E-2</v>
      </c>
      <c r="L51" s="101">
        <v>2001</v>
      </c>
      <c r="M51" s="101">
        <v>46.34</v>
      </c>
      <c r="N51" s="102">
        <f t="shared" si="3"/>
        <v>0</v>
      </c>
      <c r="O51" s="102">
        <f t="shared" si="3"/>
        <v>1.5488768558888723E-8</v>
      </c>
      <c r="P51" s="102">
        <f t="shared" si="3"/>
        <v>3.5219375775959993E-5</v>
      </c>
      <c r="Q51" s="102">
        <f t="shared" si="3"/>
        <v>1.0090783372428992E-3</v>
      </c>
      <c r="R51" s="102">
        <f t="shared" si="3"/>
        <v>0.12931431638048038</v>
      </c>
      <c r="S51" s="102">
        <f t="shared" si="3"/>
        <v>0.4016608506876112</v>
      </c>
      <c r="T51" s="102">
        <f t="shared" si="3"/>
        <v>3.1480449833219105E-3</v>
      </c>
      <c r="U51" s="102">
        <f t="shared" si="11"/>
        <v>4.1636202452681754</v>
      </c>
    </row>
    <row r="52" spans="1:21" x14ac:dyDescent="0.2">
      <c r="A52" s="101">
        <v>27</v>
      </c>
      <c r="B52" s="101">
        <f t="shared" si="4"/>
        <v>0</v>
      </c>
      <c r="C52" s="101">
        <f t="shared" si="5"/>
        <v>2.6242341633064825E-12</v>
      </c>
      <c r="D52" s="101">
        <f t="shared" si="6"/>
        <v>2.2205680627607194E-9</v>
      </c>
      <c r="E52" s="101">
        <f t="shared" si="7"/>
        <v>2.4920852825793816E-7</v>
      </c>
      <c r="F52" s="101">
        <f t="shared" si="8"/>
        <v>3.5132782618607639E-4</v>
      </c>
      <c r="G52" s="101">
        <f t="shared" si="9"/>
        <v>1.4899181803246675E-2</v>
      </c>
      <c r="H52" s="101">
        <f t="shared" si="10"/>
        <v>3.2410129333114213E-2</v>
      </c>
      <c r="L52" s="101">
        <v>2002</v>
      </c>
      <c r="M52" s="101">
        <v>49.21</v>
      </c>
      <c r="N52" s="102">
        <f t="shared" si="3"/>
        <v>0</v>
      </c>
      <c r="O52" s="102">
        <f t="shared" si="3"/>
        <v>4.6098789808852067E-8</v>
      </c>
      <c r="P52" s="102">
        <f t="shared" si="3"/>
        <v>9.2931065290906615E-5</v>
      </c>
      <c r="Q52" s="102">
        <f t="shared" si="3"/>
        <v>2.4472315465770026E-3</v>
      </c>
      <c r="R52" s="102">
        <f t="shared" si="3"/>
        <v>0.21107990413237962</v>
      </c>
      <c r="S52" s="102">
        <f t="shared" si="3"/>
        <v>0.35645686362149959</v>
      </c>
      <c r="T52" s="102">
        <f t="shared" si="3"/>
        <v>1.4271311951099398E-3</v>
      </c>
      <c r="U52" s="102">
        <f t="shared" si="11"/>
        <v>4.735124352927822</v>
      </c>
    </row>
    <row r="53" spans="1:21" x14ac:dyDescent="0.2">
      <c r="A53" s="101">
        <v>28</v>
      </c>
      <c r="B53" s="101">
        <f t="shared" si="4"/>
        <v>0</v>
      </c>
      <c r="C53" s="101">
        <f t="shared" si="5"/>
        <v>1.145195049900849E-12</v>
      </c>
      <c r="D53" s="101">
        <f t="shared" si="6"/>
        <v>1.0167053865473008E-9</v>
      </c>
      <c r="E53" s="101">
        <f t="shared" si="7"/>
        <v>1.1207619698971882E-7</v>
      </c>
      <c r="F53" s="101">
        <f t="shared" si="8"/>
        <v>1.9731267667699726E-4</v>
      </c>
      <c r="G53" s="101">
        <f t="shared" si="9"/>
        <v>8.5724099024012679E-3</v>
      </c>
      <c r="H53" s="101">
        <f t="shared" si="10"/>
        <v>3.9160969693935774E-2</v>
      </c>
      <c r="L53" s="101">
        <v>2003</v>
      </c>
      <c r="M53" s="101">
        <v>48.39</v>
      </c>
      <c r="N53" s="102">
        <f t="shared" si="3"/>
        <v>0</v>
      </c>
      <c r="O53" s="102">
        <f t="shared" si="3"/>
        <v>1.3075495149685697E-7</v>
      </c>
      <c r="P53" s="102">
        <f t="shared" si="3"/>
        <v>2.3035794001286783E-4</v>
      </c>
      <c r="Q53" s="102">
        <f t="shared" si="3"/>
        <v>5.4564155959217764E-3</v>
      </c>
      <c r="R53" s="102">
        <f t="shared" si="3"/>
        <v>0.30662663445385968</v>
      </c>
      <c r="S53" s="102">
        <f t="shared" si="3"/>
        <v>0.24977070816926569</v>
      </c>
      <c r="T53" s="102">
        <f t="shared" si="3"/>
        <v>5.2419568110357879E-4</v>
      </c>
      <c r="U53" s="102">
        <f t="shared" si="11"/>
        <v>5.2977327955229372</v>
      </c>
    </row>
    <row r="54" spans="1:21" x14ac:dyDescent="0.2">
      <c r="A54" s="101">
        <v>29</v>
      </c>
      <c r="B54" s="101">
        <f t="shared" si="4"/>
        <v>0</v>
      </c>
      <c r="C54" s="101">
        <f t="shared" si="5"/>
        <v>5.084821452783217E-13</v>
      </c>
      <c r="D54" s="101">
        <f t="shared" si="6"/>
        <v>4.7152004523098867E-10</v>
      </c>
      <c r="E54" s="101">
        <f t="shared" si="7"/>
        <v>5.0761907455232347E-8</v>
      </c>
      <c r="F54" s="101">
        <f t="shared" si="8"/>
        <v>1.1031811895445554E-4</v>
      </c>
      <c r="G54" s="101">
        <f t="shared" si="9"/>
        <v>4.7449024283037211E-3</v>
      </c>
      <c r="H54" s="101">
        <f t="shared" si="10"/>
        <v>4.5474505700567242E-2</v>
      </c>
      <c r="L54" s="101">
        <v>2004</v>
      </c>
      <c r="M54" s="101">
        <v>51.79</v>
      </c>
      <c r="N54" s="102">
        <f t="shared" si="3"/>
        <v>0</v>
      </c>
      <c r="O54" s="102">
        <f t="shared" si="3"/>
        <v>4.1607183138898608E-7</v>
      </c>
      <c r="P54" s="102">
        <f t="shared" si="3"/>
        <v>6.3003542300465369E-4</v>
      </c>
      <c r="Q54" s="102">
        <f t="shared" si="3"/>
        <v>1.3086949215687572E-2</v>
      </c>
      <c r="R54" s="102">
        <f t="shared" si="3"/>
        <v>0.46170042812451922</v>
      </c>
      <c r="S54" s="102">
        <f t="shared" si="3"/>
        <v>0.15784192860446586</v>
      </c>
      <c r="T54" s="102">
        <f t="shared" si="3"/>
        <v>1.7946033939206287E-4</v>
      </c>
      <c r="U54" s="102">
        <f t="shared" si="11"/>
        <v>5.931172013301838</v>
      </c>
    </row>
    <row r="55" spans="1:21" x14ac:dyDescent="0.2">
      <c r="A55" s="101">
        <v>30</v>
      </c>
      <c r="B55" s="101">
        <f t="shared" si="4"/>
        <v>0</v>
      </c>
      <c r="C55" s="101">
        <f t="shared" si="5"/>
        <v>2.2948309919001986E-13</v>
      </c>
      <c r="D55" s="101">
        <f t="shared" si="6"/>
        <v>2.214199934513772E-10</v>
      </c>
      <c r="E55" s="101">
        <f t="shared" si="7"/>
        <v>2.3160196205296302E-8</v>
      </c>
      <c r="F55" s="101">
        <f t="shared" si="8"/>
        <v>6.1474276232820202E-5</v>
      </c>
      <c r="G55" s="101">
        <f t="shared" si="9"/>
        <v>2.538332786999109E-3</v>
      </c>
      <c r="H55" s="101">
        <f t="shared" si="10"/>
        <v>5.0943712441696015E-2</v>
      </c>
      <c r="L55" s="101">
        <v>2005</v>
      </c>
      <c r="M55" s="101">
        <v>50.28</v>
      </c>
      <c r="N55" s="102">
        <f t="shared" si="3"/>
        <v>0</v>
      </c>
      <c r="O55" s="102">
        <f t="shared" si="3"/>
        <v>1.2398231680309626E-6</v>
      </c>
      <c r="P55" s="102">
        <f t="shared" si="3"/>
        <v>1.5825945195204079E-3</v>
      </c>
      <c r="Q55" s="102">
        <f t="shared" si="3"/>
        <v>2.7974437150541511E-2</v>
      </c>
      <c r="R55" s="102">
        <f t="shared" si="3"/>
        <v>0.59372067766075243</v>
      </c>
      <c r="S55" s="102">
        <f t="shared" si="3"/>
        <v>7.2381094201789856E-2</v>
      </c>
      <c r="T55" s="102">
        <f t="shared" si="3"/>
        <v>4.6486373323240555E-5</v>
      </c>
      <c r="U55" s="102">
        <f t="shared" si="11"/>
        <v>6.6268785430309336</v>
      </c>
    </row>
    <row r="56" spans="1:21" x14ac:dyDescent="0.2">
      <c r="A56" s="101">
        <v>31</v>
      </c>
      <c r="B56" s="101">
        <f t="shared" si="4"/>
        <v>0</v>
      </c>
      <c r="C56" s="101">
        <f t="shared" si="5"/>
        <v>1.0524914273446484E-13</v>
      </c>
      <c r="D56" s="101">
        <f t="shared" si="6"/>
        <v>1.0524103810638508E-10</v>
      </c>
      <c r="E56" s="101">
        <f t="shared" si="7"/>
        <v>1.0646342141207299E-8</v>
      </c>
      <c r="F56" s="101">
        <f t="shared" si="8"/>
        <v>3.4176307807332051E-5</v>
      </c>
      <c r="G56" s="101">
        <f t="shared" si="9"/>
        <v>1.3177234711573282E-3</v>
      </c>
      <c r="H56" s="101">
        <f t="shared" si="10"/>
        <v>5.5244743170284549E-2</v>
      </c>
      <c r="L56" s="101">
        <v>2006</v>
      </c>
      <c r="M56" s="101">
        <v>51.38</v>
      </c>
      <c r="N56" s="102">
        <f t="shared" si="3"/>
        <v>0</v>
      </c>
      <c r="O56" s="102">
        <f t="shared" si="3"/>
        <v>4.0204127625536902E-6</v>
      </c>
      <c r="P56" s="102">
        <f t="shared" si="3"/>
        <v>4.2280546004665664E-3</v>
      </c>
      <c r="Q56" s="102">
        <f t="shared" si="3"/>
        <v>6.1355901331201688E-2</v>
      </c>
      <c r="R56" s="102">
        <f t="shared" si="3"/>
        <v>0.74560790233416174</v>
      </c>
      <c r="S56" s="102">
        <f t="shared" si="3"/>
        <v>2.6749148709278275E-2</v>
      </c>
      <c r="T56" s="102">
        <f t="shared" si="3"/>
        <v>1.0233041988533974E-5</v>
      </c>
      <c r="U56" s="102">
        <f t="shared" si="11"/>
        <v>7.4648338034607926</v>
      </c>
    </row>
    <row r="57" spans="1:21" x14ac:dyDescent="0.2">
      <c r="A57" s="101">
        <v>32</v>
      </c>
      <c r="B57" s="101">
        <f t="shared" si="4"/>
        <v>0</v>
      </c>
      <c r="C57" s="101">
        <f t="shared" si="5"/>
        <v>4.9071857688431919E-14</v>
      </c>
      <c r="D57" s="101">
        <f t="shared" si="6"/>
        <v>5.0611292934377161E-11</v>
      </c>
      <c r="E57" s="101">
        <f t="shared" si="7"/>
        <v>4.9312967043135814E-9</v>
      </c>
      <c r="F57" s="101">
        <f t="shared" si="8"/>
        <v>1.8971843195103588E-5</v>
      </c>
      <c r="G57" s="101">
        <f t="shared" si="9"/>
        <v>6.6618408636465176E-4</v>
      </c>
      <c r="H57" s="101">
        <f t="shared" si="10"/>
        <v>5.8166150274378992E-2</v>
      </c>
      <c r="L57" s="101">
        <v>2007</v>
      </c>
      <c r="M57" s="101">
        <v>52.67</v>
      </c>
      <c r="N57" s="102">
        <f t="shared" si="3"/>
        <v>0</v>
      </c>
      <c r="O57" s="102">
        <f t="shared" si="3"/>
        <v>1.3539472310501977E-5</v>
      </c>
      <c r="P57" s="102">
        <f t="shared" si="3"/>
        <v>1.1414700538982426E-2</v>
      </c>
      <c r="Q57" s="102">
        <f t="shared" si="3"/>
        <v>0.13022082043607863</v>
      </c>
      <c r="R57" s="102">
        <f t="shared" si="3"/>
        <v>0.8551863078997276</v>
      </c>
      <c r="S57" s="102">
        <f t="shared" si="3"/>
        <v>7.1851001921601921E-3</v>
      </c>
      <c r="T57" s="102">
        <f t="shared" si="3"/>
        <v>1.7514160187213059E-6</v>
      </c>
      <c r="U57" s="102">
        <f t="shared" si="11"/>
        <v>8.4688560234160697</v>
      </c>
    </row>
    <row r="58" spans="1:21" x14ac:dyDescent="0.2">
      <c r="A58" s="101">
        <v>33</v>
      </c>
      <c r="B58" s="101">
        <f t="shared" si="4"/>
        <v>0</v>
      </c>
      <c r="C58" s="101">
        <f t="shared" si="5"/>
        <v>2.3203661214665772E-14</v>
      </c>
      <c r="D58" s="101">
        <f t="shared" si="6"/>
        <v>2.4617863303433296E-11</v>
      </c>
      <c r="E58" s="101">
        <f t="shared" si="7"/>
        <v>2.3017199257679977E-9</v>
      </c>
      <c r="F58" s="101">
        <f t="shared" si="8"/>
        <v>1.0523519648697466E-5</v>
      </c>
      <c r="G58" s="101">
        <f t="shared" si="9"/>
        <v>3.290121348866748E-4</v>
      </c>
      <c r="H58" s="101">
        <f t="shared" si="10"/>
        <v>5.9619007527432988E-2</v>
      </c>
      <c r="L58" s="101">
        <v>2008</v>
      </c>
      <c r="M58" s="101">
        <v>47.35</v>
      </c>
      <c r="N58" s="102">
        <f t="shared" si="3"/>
        <v>0</v>
      </c>
      <c r="O58" s="102">
        <f t="shared" si="3"/>
        <v>4.1438165139101319E-5</v>
      </c>
      <c r="P58" s="102">
        <f t="shared" si="3"/>
        <v>2.7097602723772832E-2</v>
      </c>
      <c r="Q58" s="102">
        <f t="shared" si="3"/>
        <v>0.23049352120998429</v>
      </c>
      <c r="R58" s="102">
        <f t="shared" si="3"/>
        <v>0.76401001042600281</v>
      </c>
      <c r="S58" s="102">
        <f t="shared" si="3"/>
        <v>1.1428701572551968E-3</v>
      </c>
      <c r="T58" s="102">
        <f t="shared" si="3"/>
        <v>1.9343418140593022E-7</v>
      </c>
      <c r="U58" s="102">
        <f t="shared" si="11"/>
        <v>9.4916416595324051</v>
      </c>
    </row>
    <row r="59" spans="1:21" x14ac:dyDescent="0.2">
      <c r="A59" s="101">
        <v>34</v>
      </c>
      <c r="B59" s="101">
        <f t="shared" si="4"/>
        <v>0</v>
      </c>
      <c r="C59" s="101">
        <f t="shared" si="5"/>
        <v>1.099120794378905E-14</v>
      </c>
      <c r="D59" s="101">
        <f t="shared" si="6"/>
        <v>1.2107093105839795E-11</v>
      </c>
      <c r="E59" s="101">
        <f t="shared" si="7"/>
        <v>1.0826444185596529E-9</v>
      </c>
      <c r="F59" s="101">
        <f t="shared" si="8"/>
        <v>5.8364540043154278E-6</v>
      </c>
      <c r="G59" s="101">
        <f t="shared" si="9"/>
        <v>1.5917340709292738E-4</v>
      </c>
      <c r="H59" s="101">
        <f t="shared" si="10"/>
        <v>5.9629980964058527E-2</v>
      </c>
      <c r="L59" s="101">
        <v>2009</v>
      </c>
      <c r="M59" s="101">
        <v>45.45</v>
      </c>
      <c r="N59" s="102">
        <f t="shared" si="3"/>
        <v>0</v>
      </c>
      <c r="O59" s="102">
        <f t="shared" si="3"/>
        <v>1.403705503819997E-4</v>
      </c>
      <c r="P59" s="102">
        <f t="shared" si="3"/>
        <v>6.8380469235023902E-2</v>
      </c>
      <c r="Q59" s="102">
        <f t="shared" si="3"/>
        <v>0.40618304725810384</v>
      </c>
      <c r="R59" s="102">
        <f t="shared" si="3"/>
        <v>0.62628478935318166</v>
      </c>
      <c r="S59" s="102">
        <f t="shared" si="3"/>
        <v>1.1958392458616262E-4</v>
      </c>
      <c r="T59" s="102">
        <f t="shared" si="3"/>
        <v>1.5692896145844439E-8</v>
      </c>
      <c r="U59" s="102">
        <f t="shared" si="11"/>
        <v>10.592749935546578</v>
      </c>
    </row>
    <row r="60" spans="1:21" x14ac:dyDescent="0.2">
      <c r="A60" s="101">
        <v>35</v>
      </c>
      <c r="B60" s="101">
        <f t="shared" si="4"/>
        <v>0</v>
      </c>
      <c r="C60" s="101">
        <f t="shared" si="5"/>
        <v>5.440092820663267E-15</v>
      </c>
      <c r="D60" s="101">
        <f t="shared" si="6"/>
        <v>6.0182969718880486E-12</v>
      </c>
      <c r="E60" s="101">
        <f t="shared" si="7"/>
        <v>5.1316750848684478E-10</v>
      </c>
      <c r="F60" s="101">
        <f t="shared" si="8"/>
        <v>3.2382089386606694E-6</v>
      </c>
      <c r="G60" s="101">
        <f t="shared" si="9"/>
        <v>7.5617973167352304E-5</v>
      </c>
      <c r="H60" s="101">
        <f t="shared" si="10"/>
        <v>5.8321865081110424E-2</v>
      </c>
      <c r="L60" s="101">
        <v>2010</v>
      </c>
      <c r="M60" s="101">
        <v>46.94</v>
      </c>
      <c r="N60" s="102">
        <f t="shared" si="3"/>
        <v>0</v>
      </c>
      <c r="O60" s="102">
        <f t="shared" si="3"/>
        <v>5.2986237886423326E-4</v>
      </c>
      <c r="P60" s="102">
        <f t="shared" si="3"/>
        <v>0.1828528954567695</v>
      </c>
      <c r="Q60" s="102">
        <f t="shared" si="3"/>
        <v>0.69855600622555436</v>
      </c>
      <c r="R60" s="102">
        <f t="shared" si="3"/>
        <v>0.45390749384591755</v>
      </c>
      <c r="S60" s="102">
        <f t="shared" si="3"/>
        <v>7.3433919132619742E-6</v>
      </c>
      <c r="T60" s="102">
        <f t="shared" si="3"/>
        <v>8.6227444618191362E-10</v>
      </c>
      <c r="U60" s="102">
        <f t="shared" si="11"/>
        <v>11.928603537707872</v>
      </c>
    </row>
    <row r="61" spans="1:21" x14ac:dyDescent="0.2">
      <c r="A61" s="101">
        <v>36</v>
      </c>
      <c r="B61" s="101">
        <f t="shared" si="4"/>
        <v>0</v>
      </c>
      <c r="C61" s="101">
        <f t="shared" si="5"/>
        <v>2.6645352591003757E-15</v>
      </c>
      <c r="D61" s="101">
        <f t="shared" si="6"/>
        <v>3.0229152514493762E-12</v>
      </c>
      <c r="E61" s="101">
        <f t="shared" si="7"/>
        <v>2.4510926621701401E-10</v>
      </c>
      <c r="F61" s="101">
        <f t="shared" si="8"/>
        <v>1.7981542093092884E-6</v>
      </c>
      <c r="G61" s="101">
        <f t="shared" si="9"/>
        <v>3.5351731881516635E-5</v>
      </c>
      <c r="H61" s="101">
        <f t="shared" si="10"/>
        <v>5.5887029478838057E-2</v>
      </c>
      <c r="L61" s="101">
        <v>2011</v>
      </c>
      <c r="M61" s="101">
        <v>47.63</v>
      </c>
      <c r="N61" s="102">
        <f t="shared" si="3"/>
        <v>0</v>
      </c>
      <c r="O61" s="102">
        <f t="shared" si="3"/>
        <v>2.0285795165327766E-3</v>
      </c>
      <c r="P61" s="102">
        <f t="shared" si="3"/>
        <v>0.46523548813880239</v>
      </c>
      <c r="Q61" s="102">
        <f t="shared" si="3"/>
        <v>1.028865002891896</v>
      </c>
      <c r="R61" s="102">
        <f t="shared" si="3"/>
        <v>0.24958865582459638</v>
      </c>
      <c r="S61" s="102">
        <f t="shared" si="3"/>
        <v>2.0457395619707928E-7</v>
      </c>
      <c r="T61" s="102">
        <f t="shared" si="3"/>
        <v>2.5976169106050408E-11</v>
      </c>
      <c r="U61" s="102">
        <f t="shared" si="11"/>
        <v>13.674321468679631</v>
      </c>
    </row>
    <row r="62" spans="1:21" x14ac:dyDescent="0.2">
      <c r="A62" s="101">
        <v>37</v>
      </c>
      <c r="B62" s="101">
        <f t="shared" si="4"/>
        <v>0</v>
      </c>
      <c r="C62" s="101">
        <f t="shared" si="5"/>
        <v>1.3322676295501878E-15</v>
      </c>
      <c r="D62" s="101">
        <f t="shared" si="6"/>
        <v>1.5336620862171912E-12</v>
      </c>
      <c r="E62" s="101">
        <f t="shared" si="7"/>
        <v>1.1796841281608295E-10</v>
      </c>
      <c r="F62" s="101">
        <f t="shared" si="8"/>
        <v>9.997370844505582E-7</v>
      </c>
      <c r="G62" s="101">
        <f t="shared" si="9"/>
        <v>1.6295158412615862E-5</v>
      </c>
      <c r="H62" s="101">
        <f t="shared" si="10"/>
        <v>5.25588998389942E-2</v>
      </c>
      <c r="L62" s="101">
        <v>2012</v>
      </c>
      <c r="M62" s="101">
        <v>48.66</v>
      </c>
      <c r="N62" s="102">
        <f t="shared" si="3"/>
        <v>0</v>
      </c>
      <c r="O62" s="102">
        <f t="shared" si="3"/>
        <v>8.0116655048219076E-3</v>
      </c>
      <c r="P62" s="102">
        <f t="shared" si="3"/>
        <v>1.1237759050406346</v>
      </c>
      <c r="Q62" s="102">
        <f t="shared" si="3"/>
        <v>1.2540008341462781</v>
      </c>
      <c r="R62" s="102">
        <f t="shared" si="3"/>
        <v>9.7667269634914608E-2</v>
      </c>
      <c r="S62" s="102">
        <f t="shared" si="3"/>
        <v>2.0921917697224638E-9</v>
      </c>
      <c r="T62" s="102">
        <f t="shared" si="3"/>
        <v>3.714392115848871E-13</v>
      </c>
      <c r="U62" s="102">
        <f t="shared" si="11"/>
        <v>16.157777145098844</v>
      </c>
    </row>
    <row r="63" spans="1:21" x14ac:dyDescent="0.2">
      <c r="A63" s="101">
        <v>38</v>
      </c>
      <c r="B63" s="101">
        <f t="shared" si="4"/>
        <v>0</v>
      </c>
      <c r="C63" s="101">
        <f t="shared" si="5"/>
        <v>0</v>
      </c>
      <c r="D63" s="101">
        <f t="shared" si="6"/>
        <v>7.8570483452722328E-13</v>
      </c>
      <c r="E63" s="101">
        <f t="shared" si="7"/>
        <v>5.7206905879070291E-11</v>
      </c>
      <c r="F63" s="101">
        <f t="shared" si="8"/>
        <v>5.5670864429480105E-7</v>
      </c>
      <c r="G63" s="101">
        <f t="shared" si="9"/>
        <v>7.4183780084391415E-6</v>
      </c>
      <c r="H63" s="101">
        <f t="shared" si="10"/>
        <v>4.8585493507797728E-2</v>
      </c>
      <c r="L63" s="101">
        <v>2013</v>
      </c>
      <c r="M63" s="101">
        <v>49.39</v>
      </c>
      <c r="N63" s="102">
        <f t="shared" si="3"/>
        <v>0</v>
      </c>
      <c r="O63" s="102">
        <f t="shared" si="3"/>
        <v>3.1705547978641335E-2</v>
      </c>
      <c r="P63" s="102">
        <f t="shared" si="3"/>
        <v>2.4341733230427258</v>
      </c>
      <c r="Q63" s="102">
        <f t="shared" si="3"/>
        <v>1.1411335568109124</v>
      </c>
      <c r="R63" s="102">
        <f t="shared" si="3"/>
        <v>2.3572535660800951E-2</v>
      </c>
      <c r="S63" s="102">
        <f t="shared" si="3"/>
        <v>5.4657927643063289E-12</v>
      </c>
      <c r="T63" s="102">
        <f t="shared" si="3"/>
        <v>1.9458682963037446E-15</v>
      </c>
      <c r="U63" s="102">
        <f t="shared" si="11"/>
        <v>19.788362108597394</v>
      </c>
    </row>
    <row r="64" spans="1:21" x14ac:dyDescent="0.2">
      <c r="A64" s="101">
        <v>39</v>
      </c>
      <c r="B64" s="101">
        <f t="shared" si="4"/>
        <v>0</v>
      </c>
      <c r="C64" s="101">
        <f t="shared" si="5"/>
        <v>0</v>
      </c>
      <c r="D64" s="101">
        <f t="shared" si="6"/>
        <v>4.0634162701280729E-13</v>
      </c>
      <c r="E64" s="101">
        <f t="shared" si="7"/>
        <v>2.7949531578030928E-11</v>
      </c>
      <c r="F64" s="101">
        <f t="shared" si="8"/>
        <v>3.1058408733741771E-7</v>
      </c>
      <c r="G64" s="101">
        <f t="shared" si="9"/>
        <v>3.340585328803769E-6</v>
      </c>
      <c r="H64" s="101">
        <f t="shared" si="10"/>
        <v>4.4207609722316077E-2</v>
      </c>
      <c r="L64" s="101">
        <v>2014</v>
      </c>
      <c r="M64" s="101">
        <v>49.52</v>
      </c>
      <c r="N64" s="102">
        <f t="shared" si="3"/>
        <v>0</v>
      </c>
      <c r="O64" s="102">
        <f t="shared" si="3"/>
        <v>0.12102984792058766</v>
      </c>
      <c r="P64" s="102">
        <f t="shared" si="3"/>
        <v>4.3627404388092446</v>
      </c>
      <c r="Q64" s="102">
        <f t="shared" si="3"/>
        <v>0.66914725178102452</v>
      </c>
      <c r="R64" s="102">
        <f t="shared" si="3"/>
        <v>2.8627078024106825E-3</v>
      </c>
      <c r="S64" s="102">
        <f t="shared" si="3"/>
        <v>2.1074347216375005E-15</v>
      </c>
      <c r="T64" s="102">
        <f t="shared" si="3"/>
        <v>2.54883418668891E-18</v>
      </c>
      <c r="U64" s="102">
        <f t="shared" si="11"/>
        <v>24.944142354910664</v>
      </c>
    </row>
    <row r="65" spans="1:23" x14ac:dyDescent="0.2">
      <c r="A65" s="101">
        <v>40</v>
      </c>
      <c r="B65" s="101">
        <f t="shared" si="4"/>
        <v>0</v>
      </c>
      <c r="C65" s="101">
        <f t="shared" si="5"/>
        <v>0</v>
      </c>
      <c r="D65" s="101">
        <f t="shared" si="6"/>
        <v>2.1216362000586741E-13</v>
      </c>
      <c r="E65" s="101">
        <f t="shared" si="7"/>
        <v>1.3756329408920465E-11</v>
      </c>
      <c r="F65" s="101">
        <f t="shared" si="8"/>
        <v>1.7363904791789508E-7</v>
      </c>
      <c r="G65" s="101">
        <f t="shared" si="9"/>
        <v>1.4900141677154366E-6</v>
      </c>
      <c r="H65" s="101">
        <f t="shared" si="10"/>
        <v>3.9642897813112477E-2</v>
      </c>
      <c r="L65" s="101">
        <v>2015</v>
      </c>
      <c r="M65" s="101">
        <v>50.87</v>
      </c>
      <c r="N65" s="102">
        <f t="shared" si="3"/>
        <v>0</v>
      </c>
      <c r="O65" s="102">
        <f t="shared" si="3"/>
        <v>0.43185761338636997</v>
      </c>
      <c r="P65" s="102">
        <f t="shared" si="3"/>
        <v>5.8678723537681527</v>
      </c>
      <c r="Q65" s="102">
        <f t="shared" si="3"/>
        <v>0.20779655627944985</v>
      </c>
      <c r="R65" s="102">
        <f t="shared" si="3"/>
        <v>1.3182008620100927E-4</v>
      </c>
      <c r="S65" s="102">
        <f t="shared" si="3"/>
        <v>5.0811931958863846E-20</v>
      </c>
      <c r="T65" s="102">
        <f t="shared" si="3"/>
        <v>4.6878657023144672E-22</v>
      </c>
      <c r="U65" s="102">
        <f t="shared" si="11"/>
        <v>31.451800698430837</v>
      </c>
    </row>
    <row r="66" spans="1:23" x14ac:dyDescent="0.2">
      <c r="A66" s="101">
        <v>41</v>
      </c>
      <c r="B66" s="101">
        <f t="shared" si="4"/>
        <v>0</v>
      </c>
      <c r="C66" s="101">
        <f t="shared" si="5"/>
        <v>0</v>
      </c>
      <c r="D66" s="101">
        <f t="shared" si="6"/>
        <v>1.1168843627729075E-13</v>
      </c>
      <c r="E66" s="101">
        <f t="shared" si="7"/>
        <v>6.8201000402723366E-12</v>
      </c>
      <c r="F66" s="101">
        <f t="shared" si="8"/>
        <v>9.7302711110636153E-8</v>
      </c>
      <c r="G66" s="101">
        <f t="shared" si="9"/>
        <v>6.5908587365548499E-7</v>
      </c>
      <c r="H66" s="101">
        <f t="shared" si="10"/>
        <v>3.5075912170416057E-2</v>
      </c>
      <c r="L66" s="101">
        <v>2016</v>
      </c>
      <c r="M66" s="101">
        <v>51.56</v>
      </c>
      <c r="N66" s="102">
        <f t="shared" si="3"/>
        <v>0</v>
      </c>
      <c r="O66" s="102">
        <f t="shared" si="3"/>
        <v>1.1917624066185404</v>
      </c>
      <c r="P66" s="102">
        <f t="shared" si="3"/>
        <v>4.4170257880032757</v>
      </c>
      <c r="Q66" s="102">
        <f t="shared" si="3"/>
        <v>2.1956684904491368E-2</v>
      </c>
      <c r="R66" s="102">
        <f t="shared" si="3"/>
        <v>1.2560269305252714E-6</v>
      </c>
      <c r="S66" s="102">
        <f t="shared" si="3"/>
        <v>1.4874544224354444E-26</v>
      </c>
      <c r="T66" s="102">
        <f t="shared" si="3"/>
        <v>3.9331230204428394E-27</v>
      </c>
      <c r="U66" s="102">
        <f t="shared" si="11"/>
        <v>37.082546833984075</v>
      </c>
    </row>
    <row r="67" spans="1:23" x14ac:dyDescent="0.2">
      <c r="A67" s="101">
        <v>42</v>
      </c>
      <c r="B67" s="101">
        <f t="shared" si="4"/>
        <v>0</v>
      </c>
      <c r="C67" s="101">
        <f t="shared" si="5"/>
        <v>0</v>
      </c>
      <c r="D67" s="101">
        <f t="shared" si="6"/>
        <v>5.9285909514983359E-14</v>
      </c>
      <c r="E67" s="101">
        <f t="shared" si="7"/>
        <v>3.4057201503401302E-12</v>
      </c>
      <c r="F67" s="101">
        <f t="shared" si="8"/>
        <v>5.4662662618554236E-8</v>
      </c>
      <c r="G67" s="101">
        <f t="shared" si="9"/>
        <v>2.8943612195853063E-7</v>
      </c>
      <c r="H67" s="101">
        <f t="shared" si="10"/>
        <v>3.0653498946898283E-2</v>
      </c>
      <c r="L67" s="101">
        <v>2017</v>
      </c>
      <c r="M67" s="101">
        <v>51.69</v>
      </c>
      <c r="N67" s="102">
        <f t="shared" si="3"/>
        <v>4.3988006070046839E-12</v>
      </c>
      <c r="O67" s="102">
        <f t="shared" si="3"/>
        <v>1.7647479748712089</v>
      </c>
      <c r="P67" s="102">
        <f t="shared" si="3"/>
        <v>1.117512087651789</v>
      </c>
      <c r="Q67" s="102">
        <f t="shared" si="3"/>
        <v>3.5640046523100291E-4</v>
      </c>
      <c r="R67" s="102">
        <f t="shared" si="3"/>
        <v>7.7054232080642407E-10</v>
      </c>
      <c r="S67" s="102">
        <f t="shared" si="3"/>
        <v>2.0910831222241731E-36</v>
      </c>
      <c r="T67" s="102">
        <f t="shared" si="3"/>
        <v>1.7248213158736452E-34</v>
      </c>
      <c r="U67" s="102">
        <f t="shared" si="11"/>
        <v>39.965163297747246</v>
      </c>
    </row>
    <row r="68" spans="1:23" x14ac:dyDescent="0.2">
      <c r="A68" s="101">
        <v>43</v>
      </c>
      <c r="B68" s="101">
        <f t="shared" si="4"/>
        <v>0</v>
      </c>
      <c r="C68" s="101">
        <f t="shared" si="5"/>
        <v>0</v>
      </c>
      <c r="D68" s="101">
        <f t="shared" si="6"/>
        <v>3.1863400806741993E-14</v>
      </c>
      <c r="E68" s="101">
        <f t="shared" si="7"/>
        <v>1.712741060089229E-12</v>
      </c>
      <c r="F68" s="101">
        <f t="shared" si="8"/>
        <v>3.0790175853390167E-8</v>
      </c>
      <c r="G68" s="101">
        <f t="shared" si="9"/>
        <v>1.2631355206238482E-7</v>
      </c>
      <c r="H68" s="101">
        <f t="shared" si="10"/>
        <v>2.6484439784782099E-2</v>
      </c>
      <c r="L68" s="101">
        <v>2018</v>
      </c>
      <c r="M68" s="103">
        <f>(M69-M67)/2+M67</f>
        <v>55.870311897167056</v>
      </c>
      <c r="N68" s="102">
        <f t="shared" si="3"/>
        <v>1.2086253846920188E-3</v>
      </c>
      <c r="O68" s="102">
        <f t="shared" si="3"/>
        <v>0.61765745063708044</v>
      </c>
      <c r="P68" s="102">
        <f t="shared" si="3"/>
        <v>3.2771832310753431E-2</v>
      </c>
      <c r="Q68" s="102">
        <f t="shared" si="3"/>
        <v>1.241346217836212E-7</v>
      </c>
      <c r="R68" s="102">
        <f t="shared" si="3"/>
        <v>1.7383672019209716E-15</v>
      </c>
      <c r="S68" s="102">
        <f t="shared" si="3"/>
        <v>5.49853032679482E-53</v>
      </c>
      <c r="T68" s="102">
        <f t="shared" si="3"/>
        <v>2.2496482960128419E-46</v>
      </c>
      <c r="U68" s="102">
        <f t="shared" si="11"/>
        <v>40.616801330214393</v>
      </c>
    </row>
    <row r="69" spans="1:23" x14ac:dyDescent="0.2">
      <c r="A69" s="101">
        <v>44</v>
      </c>
      <c r="B69" s="101">
        <f t="shared" si="4"/>
        <v>0</v>
      </c>
      <c r="C69" s="101">
        <f t="shared" si="5"/>
        <v>0</v>
      </c>
      <c r="D69" s="101">
        <f t="shared" si="6"/>
        <v>1.7097434579227411E-14</v>
      </c>
      <c r="E69" s="101">
        <f t="shared" si="7"/>
        <v>8.6730622683717229E-13</v>
      </c>
      <c r="F69" s="101">
        <f t="shared" si="8"/>
        <v>1.7391865836380305E-8</v>
      </c>
      <c r="G69" s="101">
        <f t="shared" si="9"/>
        <v>5.4830028073382664E-8</v>
      </c>
      <c r="H69" s="101">
        <f t="shared" si="10"/>
        <v>2.2642140361334828E-2</v>
      </c>
      <c r="L69" s="101">
        <v>2019</v>
      </c>
      <c r="M69" s="112">
        <f>PlasticsUse!M111-PlasticsUse!L111</f>
        <v>60.050623794334108</v>
      </c>
      <c r="N69" s="102">
        <f>N$23*$M69*(INDEX($A$26:$H$89,($L$69-$L69+1),MATCH(N$22,$A$24:$H$24,0))+INDEX($A$26:$H$89,($L$69-$L69),MATCH(N$22,$A$24:$H$24,0)))</f>
        <v>8.1325356680886003</v>
      </c>
      <c r="O69" s="102">
        <f t="shared" ref="O69:T69" si="12">O$23*$M69*(INDEX($A$26:$H$89,($L$69-$L69+1),MATCH(O$22,$A$24:$H$24,0))+INDEX($A$26:$H$89,($L$69-$L69),MATCH(O$22,$A$24:$H$24,0)))</f>
        <v>3.0607639427089337E-3</v>
      </c>
      <c r="P69" s="102">
        <f t="shared" si="12"/>
        <v>1.142519037651874E-6</v>
      </c>
      <c r="Q69" s="102">
        <f t="shared" si="12"/>
        <v>6.3475882794040362E-12</v>
      </c>
      <c r="R69" s="102">
        <f t="shared" si="12"/>
        <v>1.2181491275000888E-7</v>
      </c>
      <c r="S69" s="102">
        <f t="shared" si="12"/>
        <v>2.1939719961962426E-7</v>
      </c>
      <c r="T69" s="102">
        <f t="shared" si="12"/>
        <v>0.10803333302625209</v>
      </c>
      <c r="U69" s="102">
        <f>SUM(N69:T69)+U68</f>
        <v>48.860432579009455</v>
      </c>
    </row>
    <row r="70" spans="1:23" x14ac:dyDescent="0.2">
      <c r="A70" s="101">
        <v>45</v>
      </c>
      <c r="B70" s="101">
        <f t="shared" si="4"/>
        <v>0</v>
      </c>
      <c r="C70" s="101">
        <f t="shared" si="5"/>
        <v>0</v>
      </c>
      <c r="D70" s="101">
        <f t="shared" si="6"/>
        <v>9.4368957093138306E-15</v>
      </c>
      <c r="E70" s="101">
        <f t="shared" si="7"/>
        <v>4.4220183070819985E-13</v>
      </c>
      <c r="F70" s="101">
        <f t="shared" si="8"/>
        <v>9.8523759151092349E-9</v>
      </c>
      <c r="G70" s="101">
        <f t="shared" si="9"/>
        <v>2.3692193096280789E-8</v>
      </c>
      <c r="H70" s="101">
        <f t="shared" si="10"/>
        <v>1.9169212759313714E-2</v>
      </c>
    </row>
    <row r="71" spans="1:23" x14ac:dyDescent="0.2">
      <c r="A71" s="101">
        <v>46</v>
      </c>
      <c r="B71" s="101">
        <f t="shared" si="4"/>
        <v>0</v>
      </c>
      <c r="C71" s="101">
        <f t="shared" si="5"/>
        <v>0</v>
      </c>
      <c r="D71" s="101">
        <f t="shared" si="6"/>
        <v>5.1070259132757201E-15</v>
      </c>
      <c r="E71" s="101">
        <f t="shared" si="7"/>
        <v>2.2704060853584451E-13</v>
      </c>
      <c r="F71" s="101">
        <f t="shared" si="8"/>
        <v>5.5980525770493728E-9</v>
      </c>
      <c r="G71" s="101">
        <f t="shared" si="9"/>
        <v>1.0198201394473472E-8</v>
      </c>
      <c r="H71" s="101">
        <f t="shared" si="10"/>
        <v>1.6082978882624555E-2</v>
      </c>
      <c r="L71" s="13" t="s">
        <v>391</v>
      </c>
      <c r="N71" s="187" t="s">
        <v>109</v>
      </c>
      <c r="O71" s="188"/>
      <c r="P71" s="188"/>
      <c r="Q71" s="188"/>
      <c r="R71" s="188"/>
      <c r="S71" s="188"/>
      <c r="T71" s="188"/>
      <c r="U71" s="189"/>
    </row>
    <row r="72" spans="1:23" ht="48" x14ac:dyDescent="0.2">
      <c r="A72" s="101">
        <v>47</v>
      </c>
      <c r="B72" s="101">
        <f t="shared" si="4"/>
        <v>0</v>
      </c>
      <c r="C72" s="101">
        <f t="shared" si="5"/>
        <v>0</v>
      </c>
      <c r="D72" s="101">
        <f t="shared" si="6"/>
        <v>2.7755575615628914E-15</v>
      </c>
      <c r="E72" s="101">
        <f t="shared" si="7"/>
        <v>1.1735057370287905E-13</v>
      </c>
      <c r="F72" s="101">
        <f t="shared" si="8"/>
        <v>3.1905663666620399E-9</v>
      </c>
      <c r="G72" s="101">
        <f t="shared" si="9"/>
        <v>4.3757910628272612E-9</v>
      </c>
      <c r="H72" s="101">
        <f t="shared" si="10"/>
        <v>1.3381150304833778E-2</v>
      </c>
      <c r="M72" s="105" t="s">
        <v>109</v>
      </c>
      <c r="N72" s="104" t="str">
        <f>N22</f>
        <v>Packaging</v>
      </c>
      <c r="O72" s="104" t="str">
        <f t="shared" ref="O72:T72" si="13">O22</f>
        <v>Consumer and Institutional</v>
      </c>
      <c r="P72" s="104" t="str">
        <f t="shared" si="13"/>
        <v>Other</v>
      </c>
      <c r="Q72" s="104" t="str">
        <f t="shared" si="13"/>
        <v>Electrical/Electronic</v>
      </c>
      <c r="R72" s="104" t="str">
        <f t="shared" si="13"/>
        <v>Transportation</v>
      </c>
      <c r="S72" s="104" t="str">
        <f t="shared" si="13"/>
        <v>Industrial/Machinery</v>
      </c>
      <c r="T72" s="104" t="str">
        <f t="shared" si="13"/>
        <v>Building and Construction</v>
      </c>
      <c r="U72" s="7" t="s">
        <v>13</v>
      </c>
    </row>
    <row r="73" spans="1:23" x14ac:dyDescent="0.2">
      <c r="A73" s="101">
        <v>48</v>
      </c>
      <c r="B73" s="101">
        <f t="shared" si="4"/>
        <v>0</v>
      </c>
      <c r="C73" s="101">
        <f t="shared" si="5"/>
        <v>0</v>
      </c>
      <c r="D73" s="101">
        <f t="shared" si="6"/>
        <v>1.5543122344752192E-15</v>
      </c>
      <c r="E73" s="101">
        <f t="shared" si="7"/>
        <v>6.0951244051921094E-14</v>
      </c>
      <c r="F73" s="101">
        <f t="shared" si="8"/>
        <v>1.8241522736772708E-9</v>
      </c>
      <c r="G73" s="101">
        <f t="shared" si="9"/>
        <v>1.8726664663404335E-9</v>
      </c>
      <c r="H73" s="101">
        <f t="shared" si="10"/>
        <v>1.1047170333381651E-2</v>
      </c>
      <c r="M73" s="5" t="s">
        <v>867</v>
      </c>
      <c r="N73" s="103">
        <f>INDEX(PlasticsUse!$B$111:$K$111,1,MATCH('In-Use Stocks'!N$22,PlasticsUse!$B$93:$K$93,0))</f>
        <v>8.1338347248882776</v>
      </c>
      <c r="O73" s="103">
        <f>INDEX(PlasticsUse!$B$111:$K$111,1,MATCH('In-Use Stocks'!O$22,PlasticsUse!$B$93:$K$93,0))</f>
        <v>4.8136310130994442</v>
      </c>
      <c r="P73" s="103">
        <f>SUM(PlasticsUse!C111,PlasticsUse!I111,PlasticsUse!J111,PlasticsUse!K111)</f>
        <v>24.007905993840417</v>
      </c>
      <c r="Q73" s="103">
        <f>INDEX(PlasticsUse!$B$111:$K$111,1,MATCH('In-Use Stocks'!Q$22,PlasticsUse!$B$93:$K$93,0))</f>
        <v>7.3183755285513676</v>
      </c>
      <c r="R73" s="103">
        <f>INDEX(PlasticsUse!$B$111:$K$111,1,MATCH('In-Use Stocks'!R$22,PlasticsUse!$B$93:$K$93,0))</f>
        <v>7.004131350599339</v>
      </c>
      <c r="S73" s="103">
        <f>INDEX(PlasticsUse!$B$111:$K$111,1,MATCH('In-Use Stocks'!S$22,PlasticsUse!$B$93:$K$93,0))</f>
        <v>4.0014059326395097</v>
      </c>
      <c r="T73" s="103">
        <f>INDEX(PlasticsUse!$B$111:$K$111,1,MATCH('In-Use Stocks'!T$22,PlasticsUse!$B$93:$K$93,0))</f>
        <v>4.771339250715747</v>
      </c>
      <c r="U73" s="103">
        <f>SUM(N73:T73)</f>
        <v>60.050623794334101</v>
      </c>
    </row>
    <row r="74" spans="1:23" x14ac:dyDescent="0.2">
      <c r="A74" s="101">
        <v>49</v>
      </c>
      <c r="B74" s="101">
        <f t="shared" si="4"/>
        <v>0</v>
      </c>
      <c r="C74" s="101">
        <f t="shared" si="5"/>
        <v>0</v>
      </c>
      <c r="D74" s="101">
        <f t="shared" si="6"/>
        <v>8.8817841970012523E-16</v>
      </c>
      <c r="E74" s="101">
        <f t="shared" si="7"/>
        <v>3.1974423109204508E-14</v>
      </c>
      <c r="F74" s="101">
        <f t="shared" si="8"/>
        <v>1.0462590793736126E-9</v>
      </c>
      <c r="G74" s="101">
        <f t="shared" si="9"/>
        <v>7.9977402478448312E-10</v>
      </c>
      <c r="H74" s="101">
        <f t="shared" si="10"/>
        <v>9.0549076096962944E-3</v>
      </c>
      <c r="M74" s="5" t="s">
        <v>392</v>
      </c>
      <c r="N74" s="103">
        <f>SUM(N25:N69)</f>
        <v>8.1337442934776902</v>
      </c>
      <c r="O74" s="103">
        <f t="shared" ref="O74:T74" si="14">SUM(O25:O69)</f>
        <v>4.1725929386789362</v>
      </c>
      <c r="P74" s="103">
        <f t="shared" si="14"/>
        <v>20.117677598420677</v>
      </c>
      <c r="Q74" s="103">
        <f t="shared" si="14"/>
        <v>5.9008073978096149</v>
      </c>
      <c r="R74" s="103">
        <f t="shared" si="14"/>
        <v>5.715011289081362</v>
      </c>
      <c r="S74" s="103">
        <f t="shared" si="14"/>
        <v>2.9837572120723919</v>
      </c>
      <c r="T74" s="103">
        <f t="shared" si="14"/>
        <v>1.8368418494687844</v>
      </c>
      <c r="U74" s="103">
        <f t="shared" ref="U74:U75" si="15">SUM(N74:T74)</f>
        <v>48.860432579009455</v>
      </c>
    </row>
    <row r="75" spans="1:23" x14ac:dyDescent="0.2">
      <c r="A75" s="101">
        <v>50</v>
      </c>
      <c r="B75" s="101">
        <f t="shared" si="4"/>
        <v>0</v>
      </c>
      <c r="C75" s="101">
        <f t="shared" si="5"/>
        <v>0</v>
      </c>
      <c r="D75" s="101">
        <f t="shared" si="6"/>
        <v>0</v>
      </c>
      <c r="E75" s="101">
        <f t="shared" si="7"/>
        <v>1.6875389974302379E-14</v>
      </c>
      <c r="F75" s="101">
        <f t="shared" si="8"/>
        <v>6.0203297902461372E-10</v>
      </c>
      <c r="G75" s="101">
        <f t="shared" si="9"/>
        <v>3.4102587420647978E-10</v>
      </c>
      <c r="H75" s="101">
        <f t="shared" si="10"/>
        <v>7.3725533380437636E-3</v>
      </c>
      <c r="M75" s="5" t="s">
        <v>393</v>
      </c>
      <c r="N75" s="103">
        <f>N73-N74</f>
        <v>9.0431410587399341E-5</v>
      </c>
      <c r="O75" s="103">
        <f t="shared" ref="O75:T75" si="16">O73-O74</f>
        <v>0.64103807442050798</v>
      </c>
      <c r="P75" s="103">
        <f t="shared" si="16"/>
        <v>3.8902283954197401</v>
      </c>
      <c r="Q75" s="103">
        <f t="shared" si="16"/>
        <v>1.4175681307417527</v>
      </c>
      <c r="R75" s="103">
        <f t="shared" si="16"/>
        <v>1.289120061517977</v>
      </c>
      <c r="S75" s="103">
        <f t="shared" si="16"/>
        <v>1.0176487205671179</v>
      </c>
      <c r="T75" s="103">
        <f t="shared" si="16"/>
        <v>2.9344974012469627</v>
      </c>
      <c r="U75" s="103">
        <f t="shared" si="15"/>
        <v>11.190191215324646</v>
      </c>
    </row>
    <row r="76" spans="1:23" x14ac:dyDescent="0.2">
      <c r="A76" s="101">
        <v>51</v>
      </c>
      <c r="B76" s="101">
        <f t="shared" si="4"/>
        <v>0</v>
      </c>
      <c r="C76" s="101">
        <f t="shared" si="5"/>
        <v>0</v>
      </c>
      <c r="D76" s="101">
        <f t="shared" si="6"/>
        <v>0</v>
      </c>
      <c r="E76" s="101">
        <f t="shared" si="7"/>
        <v>8.8817841970012523E-15</v>
      </c>
      <c r="F76" s="101">
        <f t="shared" si="8"/>
        <v>3.4755032185529444E-10</v>
      </c>
      <c r="G76" s="101">
        <f t="shared" si="9"/>
        <v>1.452484799102649E-10</v>
      </c>
      <c r="H76" s="101">
        <f t="shared" si="10"/>
        <v>5.9656931521494538E-3</v>
      </c>
      <c r="M76" s="5" t="s">
        <v>869</v>
      </c>
      <c r="N76" s="106">
        <f>(N73-N74)/N73</f>
        <v>1.1117930674284934E-5</v>
      </c>
      <c r="O76" s="106">
        <f t="shared" ref="O76:U76" si="17">(O73-O74)/O73</f>
        <v>0.13317141938716043</v>
      </c>
      <c r="P76" s="106">
        <f t="shared" si="17"/>
        <v>0.16203947134822319</v>
      </c>
      <c r="Q76" s="106">
        <f t="shared" si="17"/>
        <v>0.1936998347804588</v>
      </c>
      <c r="R76" s="106">
        <f t="shared" si="17"/>
        <v>0.18405138296095316</v>
      </c>
      <c r="S76" s="106">
        <f t="shared" si="17"/>
        <v>0.25432278996393409</v>
      </c>
      <c r="T76" s="106">
        <f t="shared" si="17"/>
        <v>0.61502593864118127</v>
      </c>
      <c r="U76" s="106">
        <f t="shared" si="17"/>
        <v>0.18634596126177899</v>
      </c>
    </row>
    <row r="77" spans="1:23" x14ac:dyDescent="0.2">
      <c r="A77" s="101">
        <v>52</v>
      </c>
      <c r="B77" s="101">
        <f t="shared" si="4"/>
        <v>0</v>
      </c>
      <c r="C77" s="101">
        <f t="shared" si="5"/>
        <v>0</v>
      </c>
      <c r="D77" s="101">
        <f t="shared" si="6"/>
        <v>0</v>
      </c>
      <c r="E77" s="101">
        <f t="shared" si="7"/>
        <v>4.7739590058881731E-15</v>
      </c>
      <c r="F77" s="101">
        <f t="shared" si="8"/>
        <v>2.0129931055379302E-10</v>
      </c>
      <c r="G77" s="101">
        <f t="shared" si="9"/>
        <v>6.1817773122641029E-11</v>
      </c>
      <c r="H77" s="101">
        <f t="shared" si="10"/>
        <v>4.7996032983056436E-3</v>
      </c>
      <c r="M77" s="13"/>
      <c r="N77" s="107"/>
      <c r="O77" s="107"/>
      <c r="P77" s="107"/>
      <c r="Q77" s="107"/>
      <c r="R77" s="107"/>
      <c r="S77" s="107"/>
      <c r="T77" s="107"/>
    </row>
    <row r="78" spans="1:23" x14ac:dyDescent="0.2">
      <c r="A78" s="101">
        <v>53</v>
      </c>
      <c r="B78" s="101">
        <f t="shared" si="4"/>
        <v>0</v>
      </c>
      <c r="C78" s="101">
        <f t="shared" si="5"/>
        <v>0</v>
      </c>
      <c r="D78" s="101">
        <f t="shared" si="6"/>
        <v>0</v>
      </c>
      <c r="E78" s="101">
        <f t="shared" si="7"/>
        <v>2.55351295663786E-15</v>
      </c>
      <c r="F78" s="101">
        <f t="shared" si="8"/>
        <v>1.1697698365509268E-10</v>
      </c>
      <c r="G78" s="101">
        <f t="shared" si="9"/>
        <v>2.6299629141135483E-11</v>
      </c>
      <c r="H78" s="101">
        <f t="shared" si="10"/>
        <v>3.840866243199792E-3</v>
      </c>
      <c r="M78" s="13"/>
      <c r="N78" s="107"/>
      <c r="O78" s="107"/>
      <c r="P78" s="107"/>
      <c r="Q78" s="107"/>
      <c r="R78" s="107"/>
      <c r="S78" s="107"/>
      <c r="T78" s="107"/>
    </row>
    <row r="79" spans="1:23" ht="16" x14ac:dyDescent="0.2">
      <c r="A79" s="101">
        <v>54</v>
      </c>
      <c r="B79" s="101">
        <f t="shared" si="4"/>
        <v>0</v>
      </c>
      <c r="C79" s="101">
        <f t="shared" si="5"/>
        <v>0</v>
      </c>
      <c r="D79" s="101">
        <f t="shared" si="6"/>
        <v>0</v>
      </c>
      <c r="E79" s="101">
        <f t="shared" si="7"/>
        <v>1.3322676295501878E-15</v>
      </c>
      <c r="F79" s="101">
        <f t="shared" si="8"/>
        <v>6.8202110625747991E-11</v>
      </c>
      <c r="G79" s="101">
        <f t="shared" si="9"/>
        <v>1.1188272530660015E-11</v>
      </c>
      <c r="H79" s="101">
        <f t="shared" si="10"/>
        <v>3.0584210650275168E-3</v>
      </c>
      <c r="L79" s="101"/>
      <c r="M79" s="185" t="s">
        <v>109</v>
      </c>
      <c r="N79" s="185"/>
      <c r="O79" s="185"/>
      <c r="P79" s="185"/>
      <c r="Q79" s="185"/>
      <c r="R79" s="185"/>
      <c r="S79" s="185"/>
      <c r="T79" s="185"/>
      <c r="U79" s="185"/>
      <c r="V79" s="185"/>
      <c r="W79" s="39"/>
    </row>
    <row r="80" spans="1:23" ht="16" x14ac:dyDescent="0.2">
      <c r="A80" s="101">
        <v>55</v>
      </c>
      <c r="B80" s="101">
        <f t="shared" si="4"/>
        <v>0</v>
      </c>
      <c r="C80" s="101">
        <f t="shared" si="5"/>
        <v>0</v>
      </c>
      <c r="D80" s="101">
        <f t="shared" si="6"/>
        <v>0</v>
      </c>
      <c r="E80" s="101">
        <f t="shared" si="7"/>
        <v>0</v>
      </c>
      <c r="F80" s="101">
        <f t="shared" si="8"/>
        <v>3.9896530523719775E-11</v>
      </c>
      <c r="G80" s="101">
        <f t="shared" si="9"/>
        <v>4.7609693965000588E-12</v>
      </c>
      <c r="H80" s="101">
        <f t="shared" si="10"/>
        <v>2.4241667125145527E-3</v>
      </c>
      <c r="L80" s="39" t="str">
        <f>PlasticsUse!A93</f>
        <v>Resin Type</v>
      </c>
      <c r="M80" s="39" t="str">
        <f>PlasticsUse!B93</f>
        <v>Building and Construction</v>
      </c>
      <c r="N80" s="39" t="str">
        <f>PlasticsUse!C93</f>
        <v>Furniture and Furnishings</v>
      </c>
      <c r="O80" s="39" t="str">
        <f>PlasticsUse!D93</f>
        <v>Transportation</v>
      </c>
      <c r="P80" s="39" t="str">
        <f>PlasticsUse!E93</f>
        <v>Industrial/Machinery</v>
      </c>
      <c r="Q80" s="39" t="str">
        <f>PlasticsUse!F93</f>
        <v>Packaging</v>
      </c>
      <c r="R80" s="39" t="str">
        <f>PlasticsUse!G93</f>
        <v>Electrical/Electronic</v>
      </c>
      <c r="S80" s="39" t="str">
        <f>PlasticsUse!H93</f>
        <v>Consumer and Institutional</v>
      </c>
      <c r="T80" s="39" t="str">
        <f>PlasticsUse!I93</f>
        <v>Adhesives/Inks/Coatings</v>
      </c>
      <c r="U80" s="39" t="str">
        <f>PlasticsUse!J93</f>
        <v>Textiles, Fibers and Apparel</v>
      </c>
      <c r="V80" s="39" t="str">
        <f>PlasticsUse!K93</f>
        <v>Other End Use Markets</v>
      </c>
      <c r="W80" s="39" t="s">
        <v>93</v>
      </c>
    </row>
    <row r="81" spans="1:23" ht="16" x14ac:dyDescent="0.2">
      <c r="A81" s="101">
        <v>56</v>
      </c>
      <c r="B81" s="101">
        <f t="shared" si="4"/>
        <v>0</v>
      </c>
      <c r="C81" s="101">
        <f t="shared" si="5"/>
        <v>0</v>
      </c>
      <c r="D81" s="101">
        <f t="shared" si="6"/>
        <v>0</v>
      </c>
      <c r="E81" s="101">
        <f t="shared" si="7"/>
        <v>0</v>
      </c>
      <c r="F81" s="101">
        <f t="shared" si="8"/>
        <v>2.3415935856974102E-11</v>
      </c>
      <c r="G81" s="101">
        <f t="shared" si="9"/>
        <v>2.0268231537556858E-12</v>
      </c>
      <c r="H81" s="101">
        <f t="shared" si="10"/>
        <v>1.9132279032376687E-3</v>
      </c>
      <c r="L81" s="39" t="str">
        <f>PlasticsUse!A94</f>
        <v>Polyurethane</v>
      </c>
      <c r="M81" s="103">
        <f>INDEX(PlasticsUse!$B$94:$K$110,MATCH('In-Use Stocks'!$L81,PlasticsUse!$A$94:$A$110,0),MATCH('In-Use Stocks'!M$80,PlasticsUse!$B$93:$K$93,0))*(1-INDEX($N$76:$T$76,1,MATCH(M$80,$N$72:$T$72,0)))</f>
        <v>0.87609700427647264</v>
      </c>
      <c r="N81" s="103">
        <f>INDEX(PlasticsUse!$B$94:$K$110,MATCH('In-Use Stocks'!$L81,PlasticsUse!$A$94:$A$110,0),MATCH('In-Use Stocks'!N$80,PlasticsUse!$B$93:$K$93,0))*(1-$P$76)</f>
        <v>2.1316939249435332</v>
      </c>
      <c r="O81" s="103">
        <f>INDEX(PlasticsUse!$B$94:$K$110,MATCH('In-Use Stocks'!$L81,PlasticsUse!$A$94:$A$110,0),MATCH('In-Use Stocks'!O$80,PlasticsUse!$B$93:$K$93,0))*(1-INDEX($N$76:$T$76,1,MATCH(O$80,$N$72:$T$72,0)))</f>
        <v>2.3115025971221326</v>
      </c>
      <c r="P81" s="103">
        <f>INDEX(PlasticsUse!$B$94:$K$110,MATCH('In-Use Stocks'!$L81,PlasticsUse!$A$94:$A$110,0),MATCH('In-Use Stocks'!P$80,PlasticsUse!$B$93:$K$93,0))*(1-INDEX($N$76:$T$76,1,MATCH(P$80,$N$72:$T$72,0)))</f>
        <v>1.6969599654687759</v>
      </c>
      <c r="Q81" s="103">
        <f>INDEX(PlasticsUse!$B$94:$K$110,MATCH('In-Use Stocks'!$L81,PlasticsUse!$A$94:$A$110,0),MATCH('In-Use Stocks'!Q$80,PlasticsUse!$B$93:$K$93,0))*(1-INDEX($N$76:$T$76,1,MATCH(Q$80,$N$72:$T$72,0)))</f>
        <v>2.7110069701520736</v>
      </c>
      <c r="R81" s="103">
        <f>INDEX(PlasticsUse!$B$94:$K$110,MATCH('In-Use Stocks'!$L81,PlasticsUse!$A$94:$A$110,0),MATCH('In-Use Stocks'!R$80,PlasticsUse!$B$93:$K$93,0))*(1-INDEX($N$76:$T$76,1,MATCH(R$80,$N$72:$T$72,0)))</f>
        <v>2.4086138424269157</v>
      </c>
      <c r="S81" s="103">
        <f>INDEX(PlasticsUse!$B$94:$K$110,MATCH('In-Use Stocks'!$L81,PlasticsUse!$A$94:$A$110,0),MATCH('In-Use Stocks'!S$80,PlasticsUse!$B$93:$K$93,0))*(1-INDEX($N$76:$T$76,1,MATCH(S$80,$N$72:$T$72,0)))</f>
        <v>2.2040823313200337</v>
      </c>
      <c r="T81" s="103">
        <f>INDEX(PlasticsUse!$B$94:$K$110,MATCH('In-Use Stocks'!$L81,PlasticsUse!$A$94:$A$110,0),MATCH('In-Use Stocks'!T$80,PlasticsUse!$B$93:$K$93,0))*(1-$P$76)</f>
        <v>1.9069718782156957</v>
      </c>
      <c r="U81" s="103">
        <f>INDEX(PlasticsUse!$B$94:$K$110,MATCH('In-Use Stocks'!$L81,PlasticsUse!$A$94:$A$110,0),MATCH('In-Use Stocks'!U$80,PlasticsUse!$B$93:$K$93,0))*(1-$P$76)</f>
        <v>2.2130085000446935</v>
      </c>
      <c r="V81" s="103">
        <f>INDEX(PlasticsUse!$B$94:$K$110,MATCH('In-Use Stocks'!$L81,PlasticsUse!$A$94:$A$110,0),MATCH('In-Use Stocks'!V$80,PlasticsUse!$B$93:$K$93,0))*(1-$P$76)</f>
        <v>1.9069718782156957</v>
      </c>
      <c r="W81" s="103">
        <f>SUM(M81:V81)</f>
        <v>20.366908892186025</v>
      </c>
    </row>
    <row r="82" spans="1:23" ht="16" x14ac:dyDescent="0.2">
      <c r="A82" s="101">
        <v>57</v>
      </c>
      <c r="B82" s="101">
        <f t="shared" si="4"/>
        <v>0</v>
      </c>
      <c r="C82" s="101">
        <f t="shared" si="5"/>
        <v>0</v>
      </c>
      <c r="D82" s="101">
        <f t="shared" si="6"/>
        <v>0</v>
      </c>
      <c r="E82" s="101">
        <f t="shared" si="7"/>
        <v>0</v>
      </c>
      <c r="F82" s="101">
        <f t="shared" si="8"/>
        <v>1.3788969965844444E-11</v>
      </c>
      <c r="G82" s="101">
        <f t="shared" si="9"/>
        <v>8.6364249085590927E-13</v>
      </c>
      <c r="H82" s="101">
        <f t="shared" si="10"/>
        <v>1.5039791196616026E-3</v>
      </c>
      <c r="L82" s="39" t="str">
        <f>PlasticsUse!A95</f>
        <v>Other thermosets</v>
      </c>
      <c r="M82" s="103">
        <f>INDEX(PlasticsUse!$B$94:$K$110,MATCH('In-Use Stocks'!$L82,PlasticsUse!$A$94:$A$110,0),MATCH('In-Use Stocks'!M$80,PlasticsUse!$B$93:$K$93,0))*(1-INDEX($N$76:$T$76,1,MATCH(M$80,$N$72:$T$72,0)))</f>
        <v>0</v>
      </c>
      <c r="N82" s="103">
        <f>INDEX(PlasticsUse!$B$94:$K$110,MATCH('In-Use Stocks'!$L82,PlasticsUse!$A$94:$A$110,0),MATCH('In-Use Stocks'!N$80,PlasticsUse!$B$93:$K$93,0))*(1-$P$76)</f>
        <v>0</v>
      </c>
      <c r="O82" s="103">
        <f>INDEX(PlasticsUse!$B$94:$K$110,MATCH('In-Use Stocks'!$L82,PlasticsUse!$A$94:$A$110,0),MATCH('In-Use Stocks'!O$80,PlasticsUse!$B$93:$K$93,0))*(1-INDEX($N$76:$T$76,1,MATCH(O$80,$N$72:$T$72,0)))</f>
        <v>0</v>
      </c>
      <c r="P82" s="103">
        <f>INDEX(PlasticsUse!$B$94:$K$110,MATCH('In-Use Stocks'!$L82,PlasticsUse!$A$94:$A$110,0),MATCH('In-Use Stocks'!P$80,PlasticsUse!$B$93:$K$93,0))*(1-INDEX($N$76:$T$76,1,MATCH(P$80,$N$72:$T$72,0)))</f>
        <v>0</v>
      </c>
      <c r="Q82" s="103">
        <f>INDEX(PlasticsUse!$B$94:$K$110,MATCH('In-Use Stocks'!$L82,PlasticsUse!$A$94:$A$110,0),MATCH('In-Use Stocks'!Q$80,PlasticsUse!$B$93:$K$93,0))*(1-INDEX($N$76:$T$76,1,MATCH(Q$80,$N$72:$T$72,0)))</f>
        <v>0</v>
      </c>
      <c r="R82" s="103">
        <f>INDEX(PlasticsUse!$B$94:$K$110,MATCH('In-Use Stocks'!$L82,PlasticsUse!$A$94:$A$110,0),MATCH('In-Use Stocks'!R$80,PlasticsUse!$B$93:$K$93,0))*(1-INDEX($N$76:$T$76,1,MATCH(R$80,$N$72:$T$72,0)))</f>
        <v>0</v>
      </c>
      <c r="S82" s="103">
        <f>INDEX(PlasticsUse!$B$94:$K$110,MATCH('In-Use Stocks'!$L82,PlasticsUse!$A$94:$A$110,0),MATCH('In-Use Stocks'!S$80,PlasticsUse!$B$93:$K$93,0))*(1-INDEX($N$76:$T$76,1,MATCH(S$80,$N$72:$T$72,0)))</f>
        <v>0</v>
      </c>
      <c r="T82" s="103">
        <f>INDEX(PlasticsUse!$B$94:$K$110,MATCH('In-Use Stocks'!$L82,PlasticsUse!$A$94:$A$110,0),MATCH('In-Use Stocks'!T$80,PlasticsUse!$B$93:$K$93,0))*(1-$P$76)</f>
        <v>0</v>
      </c>
      <c r="U82" s="103">
        <f>INDEX(PlasticsUse!$B$94:$K$110,MATCH('In-Use Stocks'!$L82,PlasticsUse!$A$94:$A$110,0),MATCH('In-Use Stocks'!U$80,PlasticsUse!$B$93:$K$93,0))*(1-$P$76)</f>
        <v>0</v>
      </c>
      <c r="V82" s="103">
        <f>INDEX(PlasticsUse!$B$94:$K$110,MATCH('In-Use Stocks'!$L82,PlasticsUse!$A$94:$A$110,0),MATCH('In-Use Stocks'!V$80,PlasticsUse!$B$93:$K$93,0))*(1-$P$76)</f>
        <v>1.9004609605610838</v>
      </c>
      <c r="W82" s="103">
        <f t="shared" ref="W82:W97" si="18">SUM(M82:V82)</f>
        <v>1.9004609605610838</v>
      </c>
    </row>
    <row r="83" spans="1:23" ht="16" x14ac:dyDescent="0.2">
      <c r="A83" s="101">
        <v>58</v>
      </c>
      <c r="B83" s="101">
        <f t="shared" si="4"/>
        <v>0</v>
      </c>
      <c r="C83" s="101">
        <f t="shared" si="5"/>
        <v>0</v>
      </c>
      <c r="D83" s="101">
        <f t="shared" si="6"/>
        <v>0</v>
      </c>
      <c r="E83" s="101">
        <f t="shared" si="7"/>
        <v>0</v>
      </c>
      <c r="F83" s="101">
        <f t="shared" si="8"/>
        <v>8.1467055323969362E-12</v>
      </c>
      <c r="G83" s="101">
        <f t="shared" si="9"/>
        <v>3.6837199957062694E-13</v>
      </c>
      <c r="H83" s="101">
        <f t="shared" si="10"/>
        <v>1.1779054720862936E-3</v>
      </c>
      <c r="L83" s="39" t="str">
        <f>PlasticsUse!A96</f>
        <v>LDPE</v>
      </c>
      <c r="M83" s="103">
        <f>INDEX(PlasticsUse!$B$94:$K$110,MATCH('In-Use Stocks'!$L83,PlasticsUse!$A$94:$A$110,0),MATCH('In-Use Stocks'!M$80,PlasticsUse!$B$93:$K$93,0))*(1-INDEX($N$76:$T$76,1,MATCH(M$80,$N$72:$T$72,0)))</f>
        <v>9.3451412386754112E-2</v>
      </c>
      <c r="N83" s="103">
        <f>INDEX(PlasticsUse!$B$94:$K$110,MATCH('In-Use Stocks'!$L83,PlasticsUse!$A$94:$A$110,0),MATCH('In-Use Stocks'!N$80,PlasticsUse!$B$93:$K$93,0))*(1-$P$76)</f>
        <v>0.22738327729673571</v>
      </c>
      <c r="O83" s="103">
        <f>INDEX(PlasticsUse!$B$94:$K$110,MATCH('In-Use Stocks'!$L83,PlasticsUse!$A$94:$A$110,0),MATCH('In-Use Stocks'!O$80,PlasticsUse!$B$93:$K$93,0))*(1-INDEX($N$76:$T$76,1,MATCH(O$80,$N$72:$T$72,0)))</f>
        <v>0.24656308762875945</v>
      </c>
      <c r="P83" s="103">
        <f>INDEX(PlasticsUse!$B$94:$K$110,MATCH('In-Use Stocks'!$L83,PlasticsUse!$A$94:$A$110,0),MATCH('In-Use Stocks'!P$80,PlasticsUse!$B$93:$K$93,0))*(1-INDEX($N$76:$T$76,1,MATCH(P$80,$N$72:$T$72,0)))</f>
        <v>0.18101112635101532</v>
      </c>
      <c r="Q83" s="103">
        <f>INDEX(PlasticsUse!$B$94:$K$110,MATCH('In-Use Stocks'!$L83,PlasticsUse!$A$94:$A$110,0),MATCH('In-Use Stocks'!Q$80,PlasticsUse!$B$93:$K$93,0))*(1-INDEX($N$76:$T$76,1,MATCH(Q$80,$N$72:$T$72,0)))</f>
        <v>0.28917737318400488</v>
      </c>
      <c r="R83" s="103">
        <f>INDEX(PlasticsUse!$B$94:$K$110,MATCH('In-Use Stocks'!$L83,PlasticsUse!$A$94:$A$110,0),MATCH('In-Use Stocks'!R$80,PlasticsUse!$B$93:$K$93,0))*(1-INDEX($N$76:$T$76,1,MATCH(R$80,$N$72:$T$72,0)))</f>
        <v>0.25692173854078176</v>
      </c>
      <c r="S83" s="103">
        <f>INDEX(PlasticsUse!$B$94:$K$110,MATCH('In-Use Stocks'!$L83,PlasticsUse!$A$94:$A$110,0),MATCH('In-Use Stocks'!S$80,PlasticsUse!$B$93:$K$93,0))*(1-INDEX($N$76:$T$76,1,MATCH(S$80,$N$72:$T$72,0)))</f>
        <v>0.23510479532874518</v>
      </c>
      <c r="T83" s="103">
        <f>INDEX(PlasticsUse!$B$94:$K$110,MATCH('In-Use Stocks'!$L83,PlasticsUse!$A$94:$A$110,0),MATCH('In-Use Stocks'!T$80,PlasticsUse!$B$93:$K$93,0))*(1-$P$76)</f>
        <v>0.20341265240171966</v>
      </c>
      <c r="U83" s="103">
        <f>INDEX(PlasticsUse!$B$94:$K$110,MATCH('In-Use Stocks'!$L83,PlasticsUse!$A$94:$A$110,0),MATCH('In-Use Stocks'!U$80,PlasticsUse!$B$93:$K$93,0))*(1-$P$76)</f>
        <v>0</v>
      </c>
      <c r="V83" s="103">
        <f>INDEX(PlasticsUse!$B$94:$K$110,MATCH('In-Use Stocks'!$L83,PlasticsUse!$A$94:$A$110,0),MATCH('In-Use Stocks'!V$80,PlasticsUse!$B$93:$K$93,0))*(1-$P$76)</f>
        <v>0.20341265240171966</v>
      </c>
      <c r="W83" s="103">
        <f t="shared" si="18"/>
        <v>1.9364381155202359</v>
      </c>
    </row>
    <row r="84" spans="1:23" ht="16" x14ac:dyDescent="0.2">
      <c r="A84" s="101">
        <v>59</v>
      </c>
      <c r="B84" s="101">
        <f t="shared" si="4"/>
        <v>0</v>
      </c>
      <c r="C84" s="101">
        <f t="shared" si="5"/>
        <v>0</v>
      </c>
      <c r="D84" s="101">
        <f t="shared" si="6"/>
        <v>0</v>
      </c>
      <c r="E84" s="101">
        <f t="shared" si="7"/>
        <v>0</v>
      </c>
      <c r="F84" s="101">
        <f t="shared" si="8"/>
        <v>4.8290260679095809E-12</v>
      </c>
      <c r="G84" s="101">
        <f t="shared" si="9"/>
        <v>1.5720758028692217E-13</v>
      </c>
      <c r="H84" s="101">
        <f t="shared" si="10"/>
        <v>9.1936253106461585E-4</v>
      </c>
      <c r="L84" s="39" t="str">
        <f>PlasticsUse!A97</f>
        <v>LLDPE</v>
      </c>
      <c r="M84" s="103">
        <f>INDEX(PlasticsUse!$B$94:$K$110,MATCH('In-Use Stocks'!$L84,PlasticsUse!$A$94:$A$110,0),MATCH('In-Use Stocks'!M$80,PlasticsUse!$B$93:$K$93,0))*(1-INDEX($N$76:$T$76,1,MATCH(M$80,$N$72:$T$72,0)))</f>
        <v>8.1089677402414878E-2</v>
      </c>
      <c r="N84" s="103">
        <f>INDEX(PlasticsUse!$B$94:$K$110,MATCH('In-Use Stocks'!$L84,PlasticsUse!$A$94:$A$110,0),MATCH('In-Use Stocks'!N$80,PlasticsUse!$B$93:$K$93,0))*(1-$P$76)</f>
        <v>0.19730506079873464</v>
      </c>
      <c r="O84" s="103">
        <f>INDEX(PlasticsUse!$B$94:$K$110,MATCH('In-Use Stocks'!$L84,PlasticsUse!$A$94:$A$110,0),MATCH('In-Use Stocks'!O$80,PlasticsUse!$B$93:$K$93,0))*(1-INDEX($N$76:$T$76,1,MATCH(O$80,$N$72:$T$72,0)))</f>
        <v>0.21394776948275829</v>
      </c>
      <c r="P84" s="103">
        <f>INDEX(PlasticsUse!$B$94:$K$110,MATCH('In-Use Stocks'!$L84,PlasticsUse!$A$94:$A$110,0),MATCH('In-Use Stocks'!P$80,PlasticsUse!$B$93:$K$93,0))*(1-INDEX($N$76:$T$76,1,MATCH(P$80,$N$72:$T$72,0)))</f>
        <v>0.15706700912454141</v>
      </c>
      <c r="Q84" s="103">
        <f>INDEX(PlasticsUse!$B$94:$K$110,MATCH('In-Use Stocks'!$L84,PlasticsUse!$A$94:$A$110,0),MATCH('In-Use Stocks'!Q$80,PlasticsUse!$B$93:$K$93,0))*(1-INDEX($N$76:$T$76,1,MATCH(Q$80,$N$72:$T$72,0)))</f>
        <v>0.25092504548269851</v>
      </c>
      <c r="R84" s="103">
        <f>INDEX(PlasticsUse!$B$94:$K$110,MATCH('In-Use Stocks'!$L84,PlasticsUse!$A$94:$A$110,0),MATCH('In-Use Stocks'!R$80,PlasticsUse!$B$93:$K$93,0))*(1-INDEX($N$76:$T$76,1,MATCH(R$80,$N$72:$T$72,0)))</f>
        <v>0.22293618003030377</v>
      </c>
      <c r="S84" s="103">
        <f>INDEX(PlasticsUse!$B$94:$K$110,MATCH('In-Use Stocks'!$L84,PlasticsUse!$A$94:$A$110,0),MATCH('In-Use Stocks'!S$80,PlasticsUse!$B$93:$K$93,0))*(1-INDEX($N$76:$T$76,1,MATCH(S$80,$N$72:$T$72,0)))</f>
        <v>0.20400517790002873</v>
      </c>
      <c r="T84" s="103">
        <f>INDEX(PlasticsUse!$B$94:$K$110,MATCH('In-Use Stocks'!$L84,PlasticsUse!$A$94:$A$110,0),MATCH('In-Use Stocks'!T$80,PlasticsUse!$B$93:$K$93,0))*(1-$P$76)</f>
        <v>0.17650526558722152</v>
      </c>
      <c r="U84" s="103">
        <f>INDEX(PlasticsUse!$B$94:$K$110,MATCH('In-Use Stocks'!$L84,PlasticsUse!$A$94:$A$110,0),MATCH('In-Use Stocks'!U$80,PlasticsUse!$B$93:$K$93,0))*(1-$P$76)</f>
        <v>0</v>
      </c>
      <c r="V84" s="103">
        <f>INDEX(PlasticsUse!$B$94:$K$110,MATCH('In-Use Stocks'!$L84,PlasticsUse!$A$94:$A$110,0),MATCH('In-Use Stocks'!V$80,PlasticsUse!$B$93:$K$93,0))*(1-$P$76)</f>
        <v>0.17650526558722152</v>
      </c>
      <c r="W84" s="103">
        <f t="shared" si="18"/>
        <v>1.6802864513959233</v>
      </c>
    </row>
    <row r="85" spans="1:23" ht="16" x14ac:dyDescent="0.2">
      <c r="A85" s="101">
        <v>60</v>
      </c>
      <c r="B85" s="101">
        <f t="shared" si="4"/>
        <v>0</v>
      </c>
      <c r="C85" s="101">
        <f t="shared" si="5"/>
        <v>0</v>
      </c>
      <c r="D85" s="101">
        <f t="shared" si="6"/>
        <v>0</v>
      </c>
      <c r="E85" s="101">
        <f t="shared" si="7"/>
        <v>0</v>
      </c>
      <c r="F85" s="101">
        <f t="shared" si="8"/>
        <v>2.8719249201003549E-12</v>
      </c>
      <c r="G85" s="101">
        <f t="shared" si="9"/>
        <v>6.7279515292284486E-14</v>
      </c>
      <c r="H85" s="101">
        <f t="shared" si="10"/>
        <v>7.1528201669079916E-4</v>
      </c>
      <c r="L85" s="39" t="str">
        <f>PlasticsUse!A98</f>
        <v>HDPE</v>
      </c>
      <c r="M85" s="103">
        <f>INDEX(PlasticsUse!$B$94:$K$110,MATCH('In-Use Stocks'!$L85,PlasticsUse!$A$94:$A$110,0),MATCH('In-Use Stocks'!M$80,PlasticsUse!$B$93:$K$93,0))*(1-INDEX($N$76:$T$76,1,MATCH(M$80,$N$72:$T$72,0)))</f>
        <v>0.11339997340437069</v>
      </c>
      <c r="N85" s="103">
        <f>INDEX(PlasticsUse!$B$94:$K$110,MATCH('In-Use Stocks'!$L85,PlasticsUse!$A$94:$A$110,0),MATCH('In-Use Stocks'!N$80,PlasticsUse!$B$93:$K$93,0))*(1-$P$76)</f>
        <v>0.27592153975516903</v>
      </c>
      <c r="O85" s="103">
        <f>INDEX(PlasticsUse!$B$94:$K$110,MATCH('In-Use Stocks'!$L85,PlasticsUse!$A$94:$A$110,0),MATCH('In-Use Stocks'!O$80,PlasticsUse!$B$93:$K$93,0))*(1-INDEX($N$76:$T$76,1,MATCH(O$80,$N$72:$T$72,0)))</f>
        <v>0.29919555911991708</v>
      </c>
      <c r="P85" s="103">
        <f>INDEX(PlasticsUse!$B$94:$K$110,MATCH('In-Use Stocks'!$L85,PlasticsUse!$A$94:$A$110,0),MATCH('In-Use Stocks'!P$80,PlasticsUse!$B$93:$K$93,0))*(1-INDEX($N$76:$T$76,1,MATCH(P$80,$N$72:$T$72,0)))</f>
        <v>0.21965057980236355</v>
      </c>
      <c r="Q85" s="103">
        <f>INDEX(PlasticsUse!$B$94:$K$110,MATCH('In-Use Stocks'!$L85,PlasticsUse!$A$94:$A$110,0),MATCH('In-Use Stocks'!Q$80,PlasticsUse!$B$93:$K$93,0))*(1-INDEX($N$76:$T$76,1,MATCH(Q$80,$N$72:$T$72,0)))</f>
        <v>0.35090648274525166</v>
      </c>
      <c r="R85" s="103">
        <f>INDEX(PlasticsUse!$B$94:$K$110,MATCH('In-Use Stocks'!$L85,PlasticsUse!$A$94:$A$110,0),MATCH('In-Use Stocks'!R$80,PlasticsUse!$B$93:$K$93,0))*(1-INDEX($N$76:$T$76,1,MATCH(R$80,$N$72:$T$72,0)))</f>
        <v>0.31176541449103817</v>
      </c>
      <c r="S85" s="103">
        <f>INDEX(PlasticsUse!$B$94:$K$110,MATCH('In-Use Stocks'!$L85,PlasticsUse!$A$94:$A$110,0),MATCH('In-Use Stocks'!S$80,PlasticsUse!$B$93:$K$93,0))*(1-INDEX($N$76:$T$76,1,MATCH(S$80,$N$72:$T$72,0)))</f>
        <v>0.28529132793822443</v>
      </c>
      <c r="T85" s="103">
        <f>INDEX(PlasticsUse!$B$94:$K$110,MATCH('In-Use Stocks'!$L85,PlasticsUse!$A$94:$A$110,0),MATCH('In-Use Stocks'!T$80,PlasticsUse!$B$93:$K$93,0))*(1-$P$76)</f>
        <v>0.24683403688970937</v>
      </c>
      <c r="U85" s="103">
        <f>INDEX(PlasticsUse!$B$94:$K$110,MATCH('In-Use Stocks'!$L85,PlasticsUse!$A$94:$A$110,0),MATCH('In-Use Stocks'!U$80,PlasticsUse!$B$93:$K$93,0))*(1-$P$76)</f>
        <v>0</v>
      </c>
      <c r="V85" s="103">
        <f>INDEX(PlasticsUse!$B$94:$K$110,MATCH('In-Use Stocks'!$L85,PlasticsUse!$A$94:$A$110,0),MATCH('In-Use Stocks'!V$80,PlasticsUse!$B$93:$K$93,0))*(1-$P$76)</f>
        <v>0.24683403688970937</v>
      </c>
      <c r="W85" s="103">
        <f t="shared" si="18"/>
        <v>2.3497989510357531</v>
      </c>
    </row>
    <row r="86" spans="1:23" ht="16" x14ac:dyDescent="0.2">
      <c r="A86" s="101">
        <v>61</v>
      </c>
      <c r="B86" s="101">
        <f t="shared" si="4"/>
        <v>0</v>
      </c>
      <c r="C86" s="101">
        <f t="shared" si="5"/>
        <v>0</v>
      </c>
      <c r="D86" s="101">
        <f t="shared" si="6"/>
        <v>0</v>
      </c>
      <c r="E86" s="101">
        <f t="shared" si="7"/>
        <v>0</v>
      </c>
      <c r="F86" s="101">
        <f t="shared" si="8"/>
        <v>1.7135182162064666E-12</v>
      </c>
      <c r="G86" s="101">
        <f t="shared" si="9"/>
        <v>2.886579864025407E-14</v>
      </c>
      <c r="H86" s="101">
        <f t="shared" si="10"/>
        <v>5.5485718408287976E-4</v>
      </c>
      <c r="L86" s="39" t="str">
        <f>PlasticsUse!A99</f>
        <v>PP</v>
      </c>
      <c r="M86" s="103">
        <f>INDEX(PlasticsUse!$B$94:$K$110,MATCH('In-Use Stocks'!$L86,PlasticsUse!$A$94:$A$110,0),MATCH('In-Use Stocks'!M$80,PlasticsUse!$B$93:$K$93,0))*(1-INDEX($N$76:$T$76,1,MATCH(M$80,$N$72:$T$72,0)))</f>
        <v>8.7229638114779948E-2</v>
      </c>
      <c r="N86" s="103">
        <f>INDEX(PlasticsUse!$B$94:$K$110,MATCH('In-Use Stocks'!$L86,PlasticsUse!$A$94:$A$110,0),MATCH('In-Use Stocks'!N$80,PlasticsUse!$B$93:$K$93,0))*(1-$P$76)</f>
        <v>0.21224463585269776</v>
      </c>
      <c r="O86" s="103">
        <f>INDEX(PlasticsUse!$B$94:$K$110,MATCH('In-Use Stocks'!$L86,PlasticsUse!$A$94:$A$110,0),MATCH('In-Use Stocks'!O$80,PlasticsUse!$B$93:$K$93,0))*(1-INDEX($N$76:$T$76,1,MATCH(O$80,$N$72:$T$72,0)))</f>
        <v>0.23014749972219758</v>
      </c>
      <c r="P86" s="103">
        <f>INDEX(PlasticsUse!$B$94:$K$110,MATCH('In-Use Stocks'!$L86,PlasticsUse!$A$94:$A$110,0),MATCH('In-Use Stocks'!P$80,PlasticsUse!$B$93:$K$93,0))*(1-INDEX($N$76:$T$76,1,MATCH(P$80,$N$72:$T$72,0)))</f>
        <v>0.16895983316979593</v>
      </c>
      <c r="Q86" s="103">
        <f>INDEX(PlasticsUse!$B$94:$K$110,MATCH('In-Use Stocks'!$L86,PlasticsUse!$A$94:$A$110,0),MATCH('In-Use Stocks'!Q$80,PlasticsUse!$B$93:$K$93,0))*(1-INDEX($N$76:$T$76,1,MATCH(Q$80,$N$72:$T$72,0)))</f>
        <v>0.26992462681493734</v>
      </c>
      <c r="R86" s="103">
        <f>INDEX(PlasticsUse!$B$94:$K$110,MATCH('In-Use Stocks'!$L86,PlasticsUse!$A$94:$A$110,0),MATCH('In-Use Stocks'!R$80,PlasticsUse!$B$93:$K$93,0))*(1-INDEX($N$76:$T$76,1,MATCH(R$80,$N$72:$T$72,0)))</f>
        <v>0.23981649612723338</v>
      </c>
      <c r="S86" s="103">
        <f>INDEX(PlasticsUse!$B$94:$K$110,MATCH('In-Use Stocks'!$L86,PlasticsUse!$A$94:$A$110,0),MATCH('In-Use Stocks'!S$80,PlasticsUse!$B$93:$K$93,0))*(1-INDEX($N$76:$T$76,1,MATCH(S$80,$N$72:$T$72,0)))</f>
        <v>0.21945207345504694</v>
      </c>
      <c r="T86" s="103">
        <f>INDEX(PlasticsUse!$B$94:$K$110,MATCH('In-Use Stocks'!$L86,PlasticsUse!$A$94:$A$110,0),MATCH('In-Use Stocks'!T$80,PlasticsUse!$B$93:$K$93,0))*(1-$P$76)</f>
        <v>0.18986991853623952</v>
      </c>
      <c r="U86" s="103">
        <f>INDEX(PlasticsUse!$B$94:$K$110,MATCH('In-Use Stocks'!$L86,PlasticsUse!$A$94:$A$110,0),MATCH('In-Use Stocks'!U$80,PlasticsUse!$B$93:$K$93,0))*(1-$P$76)</f>
        <v>0</v>
      </c>
      <c r="V86" s="103">
        <f>INDEX(PlasticsUse!$B$94:$K$110,MATCH('In-Use Stocks'!$L86,PlasticsUse!$A$94:$A$110,0),MATCH('In-Use Stocks'!V$80,PlasticsUse!$B$93:$K$93,0))*(1-$P$76)</f>
        <v>0.18986991853623952</v>
      </c>
      <c r="W86" s="103">
        <f t="shared" si="18"/>
        <v>1.807514640329168</v>
      </c>
    </row>
    <row r="87" spans="1:23" ht="16" x14ac:dyDescent="0.2">
      <c r="A87" s="101">
        <v>62</v>
      </c>
      <c r="B87" s="101">
        <f t="shared" si="4"/>
        <v>0</v>
      </c>
      <c r="C87" s="101">
        <f t="shared" si="5"/>
        <v>0</v>
      </c>
      <c r="D87" s="101">
        <f t="shared" si="6"/>
        <v>0</v>
      </c>
      <c r="E87" s="101">
        <f t="shared" si="7"/>
        <v>0</v>
      </c>
      <c r="F87" s="101">
        <f t="shared" si="8"/>
        <v>1.0256240301487196E-12</v>
      </c>
      <c r="G87" s="101">
        <f t="shared" si="9"/>
        <v>1.2323475573339238E-14</v>
      </c>
      <c r="H87" s="101">
        <f t="shared" si="10"/>
        <v>4.2923109151205008E-4</v>
      </c>
      <c r="L87" s="39" t="str">
        <f>PlasticsUse!A100</f>
        <v>PS</v>
      </c>
      <c r="M87" s="103">
        <f>INDEX(PlasticsUse!$B$94:$K$110,MATCH('In-Use Stocks'!$L87,PlasticsUse!$A$94:$A$110,0),MATCH('In-Use Stocks'!M$80,PlasticsUse!$B$93:$K$93,0))*(1-INDEX($N$76:$T$76,1,MATCH(M$80,$N$72:$T$72,0)))</f>
        <v>8.1377116692720922E-2</v>
      </c>
      <c r="N87" s="103">
        <f>INDEX(PlasticsUse!$B$94:$K$110,MATCH('In-Use Stocks'!$L87,PlasticsUse!$A$94:$A$110,0),MATCH('In-Use Stocks'!N$80,PlasticsUse!$B$93:$K$93,0))*(1-$P$76)</f>
        <v>0.19800444977728901</v>
      </c>
      <c r="O87" s="103">
        <f>INDEX(PlasticsUse!$B$94:$K$110,MATCH('In-Use Stocks'!$L87,PlasticsUse!$A$94:$A$110,0),MATCH('In-Use Stocks'!O$80,PlasticsUse!$B$93:$K$93,0))*(1-INDEX($N$76:$T$76,1,MATCH(O$80,$N$72:$T$72,0)))</f>
        <v>0.21470615201667198</v>
      </c>
      <c r="P87" s="103">
        <f>INDEX(PlasticsUse!$B$94:$K$110,MATCH('In-Use Stocks'!$L87,PlasticsUse!$A$94:$A$110,0),MATCH('In-Use Stocks'!P$80,PlasticsUse!$B$93:$K$93,0))*(1-INDEX($N$76:$T$76,1,MATCH(P$80,$N$72:$T$72,0)))</f>
        <v>0.15762376592860666</v>
      </c>
      <c r="Q87" s="103">
        <f>INDEX(PlasticsUse!$B$94:$K$110,MATCH('In-Use Stocks'!$L87,PlasticsUse!$A$94:$A$110,0),MATCH('In-Use Stocks'!Q$80,PlasticsUse!$B$93:$K$93,0))*(1-INDEX($N$76:$T$76,1,MATCH(Q$80,$N$72:$T$72,0)))</f>
        <v>0.2518145016909854</v>
      </c>
      <c r="R87" s="103">
        <f>INDEX(PlasticsUse!$B$94:$K$110,MATCH('In-Use Stocks'!$L87,PlasticsUse!$A$94:$A$110,0),MATCH('In-Use Stocks'!R$80,PlasticsUse!$B$93:$K$93,0))*(1-INDEX($N$76:$T$76,1,MATCH(R$80,$N$72:$T$72,0)))</f>
        <v>0.22372642386187613</v>
      </c>
      <c r="S87" s="103">
        <f>INDEX(PlasticsUse!$B$94:$K$110,MATCH('In-Use Stocks'!$L87,PlasticsUse!$A$94:$A$110,0),MATCH('In-Use Stocks'!S$80,PlasticsUse!$B$93:$K$93,0))*(1-INDEX($N$76:$T$76,1,MATCH(S$80,$N$72:$T$72,0)))</f>
        <v>0.20472831684240408</v>
      </c>
      <c r="T87" s="103">
        <f>INDEX(PlasticsUse!$B$94:$K$110,MATCH('In-Use Stocks'!$L87,PlasticsUse!$A$94:$A$110,0),MATCH('In-Use Stocks'!T$80,PlasticsUse!$B$93:$K$93,0))*(1-$P$76)</f>
        <v>0.17713092534936231</v>
      </c>
      <c r="U87" s="103">
        <f>INDEX(PlasticsUse!$B$94:$K$110,MATCH('In-Use Stocks'!$L87,PlasticsUse!$A$94:$A$110,0),MATCH('In-Use Stocks'!U$80,PlasticsUse!$B$93:$K$93,0))*(1-$P$76)</f>
        <v>0</v>
      </c>
      <c r="V87" s="103">
        <f>INDEX(PlasticsUse!$B$94:$K$110,MATCH('In-Use Stocks'!$L87,PlasticsUse!$A$94:$A$110,0),MATCH('In-Use Stocks'!V$80,PlasticsUse!$B$93:$K$93,0))*(1-$P$76)</f>
        <v>0.17713092534936231</v>
      </c>
      <c r="W87" s="103">
        <f t="shared" si="18"/>
        <v>1.6862425775092786</v>
      </c>
    </row>
    <row r="88" spans="1:23" ht="16" x14ac:dyDescent="0.2">
      <c r="A88" s="101">
        <v>63</v>
      </c>
      <c r="B88" s="101">
        <f t="shared" si="4"/>
        <v>0</v>
      </c>
      <c r="C88" s="101">
        <f t="shared" si="5"/>
        <v>0</v>
      </c>
      <c r="D88" s="101">
        <f t="shared" si="6"/>
        <v>0</v>
      </c>
      <c r="E88" s="101">
        <f t="shared" si="7"/>
        <v>0</v>
      </c>
      <c r="F88" s="101">
        <f t="shared" si="8"/>
        <v>6.1595173406203685E-13</v>
      </c>
      <c r="G88" s="101">
        <f t="shared" si="9"/>
        <v>5.3290705182007514E-15</v>
      </c>
      <c r="H88" s="101">
        <f t="shared" si="10"/>
        <v>3.3120260191887851E-4</v>
      </c>
      <c r="L88" s="39" t="str">
        <f>PlasticsUse!A101</f>
        <v>EPS</v>
      </c>
      <c r="M88" s="103">
        <f>INDEX(PlasticsUse!$B$94:$K$110,MATCH('In-Use Stocks'!$L88,PlasticsUse!$A$94:$A$110,0),MATCH('In-Use Stocks'!M$80,PlasticsUse!$B$93:$K$93,0))*(1-INDEX($N$76:$T$76,1,MATCH(M$80,$N$72:$T$72,0)))</f>
        <v>8.3565224365372767E-2</v>
      </c>
      <c r="N88" s="103">
        <f>INDEX(PlasticsUse!$B$94:$K$110,MATCH('In-Use Stocks'!$L88,PlasticsUse!$A$94:$A$110,0),MATCH('In-Use Stocks'!N$80,PlasticsUse!$B$93:$K$93,0))*(1-$P$76)</f>
        <v>0.20332849016339483</v>
      </c>
      <c r="O88" s="103">
        <f>INDEX(PlasticsUse!$B$94:$K$110,MATCH('In-Use Stocks'!$L88,PlasticsUse!$A$94:$A$110,0),MATCH('In-Use Stocks'!O$80,PlasticsUse!$B$93:$K$93,0))*(1-INDEX($N$76:$T$76,1,MATCH(O$80,$N$72:$T$72,0)))</f>
        <v>0.22047927593266414</v>
      </c>
      <c r="P88" s="103">
        <f>INDEX(PlasticsUse!$B$94:$K$110,MATCH('In-Use Stocks'!$L88,PlasticsUse!$A$94:$A$110,0),MATCH('In-Use Stocks'!P$80,PlasticsUse!$B$93:$K$93,0))*(1-INDEX($N$76:$T$76,1,MATCH(P$80,$N$72:$T$72,0)))</f>
        <v>0.16186203075830063</v>
      </c>
      <c r="Q88" s="103">
        <f>INDEX(PlasticsUse!$B$94:$K$110,MATCH('In-Use Stocks'!$L88,PlasticsUse!$A$94:$A$110,0),MATCH('In-Use Stocks'!Q$80,PlasticsUse!$B$93:$K$93,0))*(1-INDEX($N$76:$T$76,1,MATCH(Q$80,$N$72:$T$72,0)))</f>
        <v>0.25858541304332056</v>
      </c>
      <c r="R88" s="103">
        <f>INDEX(PlasticsUse!$B$94:$K$110,MATCH('In-Use Stocks'!$L88,PlasticsUse!$A$94:$A$110,0),MATCH('In-Use Stocks'!R$80,PlasticsUse!$B$93:$K$93,0))*(1-INDEX($N$76:$T$76,1,MATCH(R$80,$N$72:$T$72,0)))</f>
        <v>0.22974208925434286</v>
      </c>
      <c r="S88" s="103">
        <f>INDEX(PlasticsUse!$B$94:$K$110,MATCH('In-Use Stocks'!$L88,PlasticsUse!$A$94:$A$110,0),MATCH('In-Use Stocks'!S$80,PlasticsUse!$B$93:$K$93,0))*(1-INDEX($N$76:$T$76,1,MATCH(S$80,$N$72:$T$72,0)))</f>
        <v>0.21023315185128602</v>
      </c>
      <c r="T88" s="103">
        <f>INDEX(PlasticsUse!$B$94:$K$110,MATCH('In-Use Stocks'!$L88,PlasticsUse!$A$94:$A$110,0),MATCH('In-Use Stocks'!T$80,PlasticsUse!$B$93:$K$93,0))*(1-$P$76)</f>
        <v>0.18189370821231832</v>
      </c>
      <c r="U88" s="103">
        <f>INDEX(PlasticsUse!$B$94:$K$110,MATCH('In-Use Stocks'!$L88,PlasticsUse!$A$94:$A$110,0),MATCH('In-Use Stocks'!U$80,PlasticsUse!$B$93:$K$93,0))*(1-$P$76)</f>
        <v>0</v>
      </c>
      <c r="V88" s="103">
        <f>INDEX(PlasticsUse!$B$94:$K$110,MATCH('In-Use Stocks'!$L88,PlasticsUse!$A$94:$A$110,0),MATCH('In-Use Stocks'!V$80,PlasticsUse!$B$93:$K$93,0))*(1-$P$76)</f>
        <v>0.18189370821231832</v>
      </c>
      <c r="W88" s="103">
        <f t="shared" si="18"/>
        <v>1.7315830917933184</v>
      </c>
    </row>
    <row r="89" spans="1:23" ht="16" x14ac:dyDescent="0.2">
      <c r="A89" s="101">
        <v>64</v>
      </c>
      <c r="B89" s="101">
        <f t="shared" si="4"/>
        <v>0</v>
      </c>
      <c r="C89" s="101">
        <f t="shared" si="5"/>
        <v>0</v>
      </c>
      <c r="D89" s="101">
        <f t="shared" si="6"/>
        <v>0</v>
      </c>
      <c r="E89" s="101">
        <f t="shared" si="7"/>
        <v>0</v>
      </c>
      <c r="F89" s="101">
        <f t="shared" si="8"/>
        <v>3.7114755713218983E-13</v>
      </c>
      <c r="G89" s="101">
        <f t="shared" si="9"/>
        <v>2.2204460492503131E-15</v>
      </c>
      <c r="H89" s="101">
        <f t="shared" si="10"/>
        <v>2.5495870143010801E-4</v>
      </c>
      <c r="L89" s="39" t="str">
        <f>PlasticsUse!A102</f>
        <v>PVC</v>
      </c>
      <c r="M89" s="103">
        <f>INDEX(PlasticsUse!$B$94:$K$110,MATCH('In-Use Stocks'!$L89,PlasticsUse!$A$94:$A$110,0),MATCH('In-Use Stocks'!M$80,PlasticsUse!$B$93:$K$93,0))*(1-INDEX($N$76:$T$76,1,MATCH(M$80,$N$72:$T$72,0)))</f>
        <v>8.5508327920284163E-2</v>
      </c>
      <c r="N89" s="103">
        <f>INDEX(PlasticsUse!$B$94:$K$110,MATCH('In-Use Stocks'!$L89,PlasticsUse!$A$94:$A$110,0),MATCH('In-Use Stocks'!N$80,PlasticsUse!$B$93:$K$93,0))*(1-$P$76)</f>
        <v>0.20805639360710262</v>
      </c>
      <c r="O89" s="103">
        <f>INDEX(PlasticsUse!$B$94:$K$110,MATCH('In-Use Stocks'!$L89,PlasticsUse!$A$94:$A$110,0),MATCH('In-Use Stocks'!O$80,PlasticsUse!$B$93:$K$93,0))*(1-INDEX($N$76:$T$76,1,MATCH(O$80,$N$72:$T$72,0)))</f>
        <v>0.2256059786741765</v>
      </c>
      <c r="P89" s="103">
        <f>INDEX(PlasticsUse!$B$94:$K$110,MATCH('In-Use Stocks'!$L89,PlasticsUse!$A$94:$A$110,0),MATCH('In-Use Stocks'!P$80,PlasticsUse!$B$93:$K$93,0))*(1-INDEX($N$76:$T$76,1,MATCH(P$80,$N$72:$T$72,0)))</f>
        <v>0.16562573377902703</v>
      </c>
      <c r="Q89" s="103">
        <f>INDEX(PlasticsUse!$B$94:$K$110,MATCH('In-Use Stocks'!$L89,PlasticsUse!$A$94:$A$110,0),MATCH('In-Use Stocks'!Q$80,PlasticsUse!$B$93:$K$93,0))*(1-INDEX($N$76:$T$76,1,MATCH(Q$80,$N$72:$T$72,0)))</f>
        <v>0.26459818018597558</v>
      </c>
      <c r="R89" s="103">
        <f>INDEX(PlasticsUse!$B$94:$K$110,MATCH('In-Use Stocks'!$L89,PlasticsUse!$A$94:$A$110,0),MATCH('In-Use Stocks'!R$80,PlasticsUse!$B$93:$K$93,0))*(1-INDEX($N$76:$T$76,1,MATCH(R$80,$N$72:$T$72,0)))</f>
        <v>0.23508417591459085</v>
      </c>
      <c r="S89" s="103">
        <f>INDEX(PlasticsUse!$B$94:$K$110,MATCH('In-Use Stocks'!$L89,PlasticsUse!$A$94:$A$110,0),MATCH('In-Use Stocks'!S$80,PlasticsUse!$B$93:$K$93,0))*(1-INDEX($N$76:$T$76,1,MATCH(S$80,$N$72:$T$72,0)))</f>
        <v>0.21512160620325851</v>
      </c>
      <c r="T89" s="103">
        <f>INDEX(PlasticsUse!$B$94:$K$110,MATCH('In-Use Stocks'!$L89,PlasticsUse!$A$94:$A$110,0),MATCH('In-Use Stocks'!T$80,PlasticsUse!$B$93:$K$93,0))*(1-$P$76)</f>
        <v>0.18612319857421852</v>
      </c>
      <c r="U89" s="103">
        <f>INDEX(PlasticsUse!$B$94:$K$110,MATCH('In-Use Stocks'!$L89,PlasticsUse!$A$94:$A$110,0),MATCH('In-Use Stocks'!U$80,PlasticsUse!$B$93:$K$93,0))*(1-$P$76)</f>
        <v>0</v>
      </c>
      <c r="V89" s="103">
        <f>INDEX(PlasticsUse!$B$94:$K$110,MATCH('In-Use Stocks'!$L89,PlasticsUse!$A$94:$A$110,0),MATCH('In-Use Stocks'!V$80,PlasticsUse!$B$93:$K$93,0))*(1-$P$76)</f>
        <v>0.18612319857421852</v>
      </c>
      <c r="W89" s="103">
        <f t="shared" si="18"/>
        <v>1.7718467934328523</v>
      </c>
    </row>
    <row r="90" spans="1:23" ht="16" x14ac:dyDescent="0.2">
      <c r="A90" s="8" t="s">
        <v>13</v>
      </c>
      <c r="B90" s="9">
        <f>SUM(B26:B89)</f>
        <v>0.99999999999999956</v>
      </c>
      <c r="C90" s="9">
        <f>SUM(C26:C89)</f>
        <v>0.99999999999999867</v>
      </c>
      <c r="D90" s="9">
        <f>SUM(D26:D89)</f>
        <v>0.99999999999999878</v>
      </c>
      <c r="E90" s="9">
        <f t="shared" ref="E90:G90" si="19">SUM(E26:E89)</f>
        <v>0.99999999999999833</v>
      </c>
      <c r="F90" s="9">
        <f>SUM(F26:F89)</f>
        <v>0.99999999999942613</v>
      </c>
      <c r="G90" s="9">
        <f t="shared" si="19"/>
        <v>0.99999999999999822</v>
      </c>
      <c r="H90" s="10">
        <f>SUM(H26:H89)</f>
        <v>0.99917389350253538</v>
      </c>
      <c r="L90" s="39" t="str">
        <f>PlasticsUse!A103</f>
        <v>PET</v>
      </c>
      <c r="M90" s="103">
        <f>INDEX(PlasticsUse!$B$94:$K$110,MATCH('In-Use Stocks'!$L90,PlasticsUse!$A$94:$A$110,0),MATCH('In-Use Stocks'!M$80,PlasticsUse!$B$93:$K$93,0))*(1-INDEX($N$76:$T$76,1,MATCH(M$80,$N$72:$T$72,0)))</f>
        <v>0</v>
      </c>
      <c r="N90" s="103">
        <f>INDEX(PlasticsUse!$B$94:$K$110,MATCH('In-Use Stocks'!$L90,PlasticsUse!$A$94:$A$110,0),MATCH('In-Use Stocks'!N$80,PlasticsUse!$B$93:$K$93,0))*(1-$P$76)</f>
        <v>0</v>
      </c>
      <c r="O90" s="103">
        <f>INDEX(PlasticsUse!$B$94:$K$110,MATCH('In-Use Stocks'!$L90,PlasticsUse!$A$94:$A$110,0),MATCH('In-Use Stocks'!O$80,PlasticsUse!$B$93:$K$93,0))*(1-INDEX($N$76:$T$76,1,MATCH(O$80,$N$72:$T$72,0)))</f>
        <v>0</v>
      </c>
      <c r="P90" s="103">
        <f>INDEX(PlasticsUse!$B$94:$K$110,MATCH('In-Use Stocks'!$L90,PlasticsUse!$A$94:$A$110,0),MATCH('In-Use Stocks'!P$80,PlasticsUse!$B$93:$K$93,0))*(1-INDEX($N$76:$T$76,1,MATCH(P$80,$N$72:$T$72,0)))</f>
        <v>0</v>
      </c>
      <c r="Q90" s="103">
        <f>INDEX(PlasticsUse!$B$94:$K$110,MATCH('In-Use Stocks'!$L90,PlasticsUse!$A$94:$A$110,0),MATCH('In-Use Stocks'!Q$80,PlasticsUse!$B$93:$K$93,0))*(1-INDEX($N$76:$T$76,1,MATCH(Q$80,$N$72:$T$72,0)))</f>
        <v>3.246538846797292</v>
      </c>
      <c r="R90" s="103">
        <f>INDEX(PlasticsUse!$B$94:$K$110,MATCH('In-Use Stocks'!$L90,PlasticsUse!$A$94:$A$110,0),MATCH('In-Use Stocks'!R$80,PlasticsUse!$B$93:$K$93,0))*(1-INDEX($N$76:$T$76,1,MATCH(R$80,$N$72:$T$72,0)))</f>
        <v>0</v>
      </c>
      <c r="S90" s="103">
        <f>INDEX(PlasticsUse!$B$94:$K$110,MATCH('In-Use Stocks'!$L90,PlasticsUse!$A$94:$A$110,0),MATCH('In-Use Stocks'!S$80,PlasticsUse!$B$93:$K$93,0))*(1-INDEX($N$76:$T$76,1,MATCH(S$80,$N$72:$T$72,0)))</f>
        <v>0</v>
      </c>
      <c r="T90" s="103">
        <f>INDEX(PlasticsUse!$B$94:$K$110,MATCH('In-Use Stocks'!$L90,PlasticsUse!$A$94:$A$110,0),MATCH('In-Use Stocks'!T$80,PlasticsUse!$B$93:$K$93,0))*(1-$P$76)</f>
        <v>0</v>
      </c>
      <c r="U90" s="103">
        <f>INDEX(PlasticsUse!$B$94:$K$110,MATCH('In-Use Stocks'!$L90,PlasticsUse!$A$94:$A$110,0),MATCH('In-Use Stocks'!U$80,PlasticsUse!$B$93:$K$93,0))*(1-$P$76)</f>
        <v>0</v>
      </c>
      <c r="V90" s="103">
        <f>INDEX(PlasticsUse!$B$94:$K$110,MATCH('In-Use Stocks'!$L90,PlasticsUse!$A$94:$A$110,0),MATCH('In-Use Stocks'!V$80,PlasticsUse!$B$93:$K$93,0))*(1-$P$76)</f>
        <v>0.56735491121090986</v>
      </c>
      <c r="W90" s="103">
        <f t="shared" si="18"/>
        <v>3.8138937580082017</v>
      </c>
    </row>
    <row r="91" spans="1:23" ht="16" x14ac:dyDescent="0.2">
      <c r="L91" s="39" t="str">
        <f>PlasticsUse!A104</f>
        <v>Polyester fiber</v>
      </c>
      <c r="M91" s="103">
        <f>INDEX(PlasticsUse!$B$94:$K$110,MATCH('In-Use Stocks'!$L91,PlasticsUse!$A$94:$A$110,0),MATCH('In-Use Stocks'!M$80,PlasticsUse!$B$93:$K$93,0))*(1-INDEX($N$76:$T$76,1,MATCH(M$80,$N$72:$T$72,0)))</f>
        <v>2.4542096411624699E-2</v>
      </c>
      <c r="N91" s="103">
        <f>INDEX(PlasticsUse!$B$94:$K$110,MATCH('In-Use Stocks'!$L91,PlasticsUse!$A$94:$A$110,0),MATCH('In-Use Stocks'!N$80,PlasticsUse!$B$93:$K$93,0))*(1-$P$76)</f>
        <v>2.518054557744746E-2</v>
      </c>
      <c r="O91" s="103">
        <f>INDEX(PlasticsUse!$B$94:$K$110,MATCH('In-Use Stocks'!$L91,PlasticsUse!$A$94:$A$110,0),MATCH('In-Use Stocks'!O$80,PlasticsUse!$B$93:$K$93,0))*(1-INDEX($N$76:$T$76,1,MATCH(O$80,$N$72:$T$72,0)))</f>
        <v>0.17165519030958951</v>
      </c>
      <c r="P91" s="103">
        <f>INDEX(PlasticsUse!$B$94:$K$110,MATCH('In-Use Stocks'!$L91,PlasticsUse!$A$94:$A$110,0),MATCH('In-Use Stocks'!P$80,PlasticsUse!$B$93:$K$93,0))*(1-INDEX($N$76:$T$76,1,MATCH(P$80,$N$72:$T$72,0)))</f>
        <v>0</v>
      </c>
      <c r="Q91" s="103">
        <f>INDEX(PlasticsUse!$B$94:$K$110,MATCH('In-Use Stocks'!$L91,PlasticsUse!$A$94:$A$110,0),MATCH('In-Use Stocks'!Q$80,PlasticsUse!$B$93:$K$93,0))*(1-INDEX($N$76:$T$76,1,MATCH(Q$80,$N$72:$T$72,0)))</f>
        <v>0</v>
      </c>
      <c r="R91" s="103">
        <f>INDEX(PlasticsUse!$B$94:$K$110,MATCH('In-Use Stocks'!$L91,PlasticsUse!$A$94:$A$110,0),MATCH('In-Use Stocks'!R$80,PlasticsUse!$B$93:$K$93,0))*(1-INDEX($N$76:$T$76,1,MATCH(R$80,$N$72:$T$72,0)))</f>
        <v>0.56541799086020339</v>
      </c>
      <c r="S91" s="103">
        <f>INDEX(PlasticsUse!$B$94:$K$110,MATCH('In-Use Stocks'!$L91,PlasticsUse!$A$94:$A$110,0),MATCH('In-Use Stocks'!S$80,PlasticsUse!$B$93:$K$93,0))*(1-INDEX($N$76:$T$76,1,MATCH(S$80,$N$72:$T$72,0)))</f>
        <v>0.18235906264642615</v>
      </c>
      <c r="T91" s="103">
        <f>INDEX(PlasticsUse!$B$94:$K$110,MATCH('In-Use Stocks'!$L91,PlasticsUse!$A$94:$A$110,0),MATCH('In-Use Stocks'!T$80,PlasticsUse!$B$93:$K$93,0))*(1-$P$76)</f>
        <v>0</v>
      </c>
      <c r="U91" s="103">
        <f>INDEX(PlasticsUse!$B$94:$K$110,MATCH('In-Use Stocks'!$L91,PlasticsUse!$A$94:$A$110,0),MATCH('In-Use Stocks'!U$80,PlasticsUse!$B$93:$K$93,0))*(1-$P$76)</f>
        <v>0.11144900980460934</v>
      </c>
      <c r="V91" s="103">
        <f>INDEX(PlasticsUse!$B$94:$K$110,MATCH('In-Use Stocks'!$L91,PlasticsUse!$A$94:$A$110,0),MATCH('In-Use Stocks'!V$80,PlasticsUse!$B$93:$K$93,0))*(1-$P$76)</f>
        <v>7.4787977182170923E-2</v>
      </c>
      <c r="W91" s="103">
        <f t="shared" si="18"/>
        <v>1.1553918727920713</v>
      </c>
    </row>
    <row r="92" spans="1:23" ht="16" x14ac:dyDescent="0.2">
      <c r="L92" s="39" t="str">
        <f>PlasticsUse!A105</f>
        <v>ABS</v>
      </c>
      <c r="M92" s="103">
        <f>INDEX(PlasticsUse!$B$94:$K$110,MATCH('In-Use Stocks'!$L92,PlasticsUse!$A$94:$A$110,0),MATCH('In-Use Stocks'!M$80,PlasticsUse!$B$93:$K$93,0))*(1-INDEX($N$76:$T$76,1,MATCH(M$80,$N$72:$T$72,0)))</f>
        <v>0</v>
      </c>
      <c r="N92" s="103">
        <f>INDEX(PlasticsUse!$B$94:$K$110,MATCH('In-Use Stocks'!$L92,PlasticsUse!$A$94:$A$110,0),MATCH('In-Use Stocks'!N$80,PlasticsUse!$B$93:$K$93,0))*(1-$P$76)</f>
        <v>0.16855729379694884</v>
      </c>
      <c r="O92" s="103">
        <f>INDEX(PlasticsUse!$B$94:$K$110,MATCH('In-Use Stocks'!$L92,PlasticsUse!$A$94:$A$110,0),MATCH('In-Use Stocks'!O$80,PlasticsUse!$B$93:$K$93,0))*(1-INDEX($N$76:$T$76,1,MATCH(O$80,$N$72:$T$72,0)))</f>
        <v>3.3151979060661384E-2</v>
      </c>
      <c r="P92" s="103">
        <f>INDEX(PlasticsUse!$B$94:$K$110,MATCH('In-Use Stocks'!$L92,PlasticsUse!$A$94:$A$110,0),MATCH('In-Use Stocks'!P$80,PlasticsUse!$B$93:$K$93,0))*(1-INDEX($N$76:$T$76,1,MATCH(P$80,$N$72:$T$72,0)))</f>
        <v>7.499716768996513E-2</v>
      </c>
      <c r="Q92" s="103">
        <f>INDEX(PlasticsUse!$B$94:$K$110,MATCH('In-Use Stocks'!$L92,PlasticsUse!$A$94:$A$110,0),MATCH('In-Use Stocks'!Q$80,PlasticsUse!$B$93:$K$93,0))*(1-INDEX($N$76:$T$76,1,MATCH(Q$80,$N$72:$T$72,0)))</f>
        <v>0</v>
      </c>
      <c r="R92" s="103">
        <f>INDEX(PlasticsUse!$B$94:$K$110,MATCH('In-Use Stocks'!$L92,PlasticsUse!$A$94:$A$110,0),MATCH('In-Use Stocks'!R$80,PlasticsUse!$B$93:$K$93,0))*(1-INDEX($N$76:$T$76,1,MATCH(R$80,$N$72:$T$72,0)))</f>
        <v>0.13944888725784749</v>
      </c>
      <c r="S92" s="103">
        <f>INDEX(PlasticsUse!$B$94:$K$110,MATCH('In-Use Stocks'!$L92,PlasticsUse!$A$94:$A$110,0),MATCH('In-Use Stocks'!S$80,PlasticsUse!$B$93:$K$93,0))*(1-INDEX($N$76:$T$76,1,MATCH(S$80,$N$72:$T$72,0)))</f>
        <v>1.6875159822696266E-2</v>
      </c>
      <c r="T92" s="103">
        <f>INDEX(PlasticsUse!$B$94:$K$110,MATCH('In-Use Stocks'!$L92,PlasticsUse!$A$94:$A$110,0),MATCH('In-Use Stocks'!T$80,PlasticsUse!$B$93:$K$93,0))*(1-$P$76)</f>
        <v>0</v>
      </c>
      <c r="U92" s="103">
        <f>INDEX(PlasticsUse!$B$94:$K$110,MATCH('In-Use Stocks'!$L92,PlasticsUse!$A$94:$A$110,0),MATCH('In-Use Stocks'!U$80,PlasticsUse!$B$93:$K$93,0))*(1-$P$76)</f>
        <v>0.54781120484008372</v>
      </c>
      <c r="V92" s="103">
        <f>INDEX(PlasticsUse!$B$94:$K$110,MATCH('In-Use Stocks'!$L92,PlasticsUse!$A$94:$A$110,0),MATCH('In-Use Stocks'!V$80,PlasticsUse!$B$93:$K$93,0))*(1-$P$76)</f>
        <v>0</v>
      </c>
      <c r="W92" s="103">
        <f t="shared" si="18"/>
        <v>0.98084169246820285</v>
      </c>
    </row>
    <row r="93" spans="1:23" ht="16" x14ac:dyDescent="0.2">
      <c r="L93" s="39" t="str">
        <f>PlasticsUse!A106</f>
        <v>Polyamide nylon</v>
      </c>
      <c r="M93" s="103">
        <f>INDEX(PlasticsUse!$B$94:$K$110,MATCH('In-Use Stocks'!$L93,PlasticsUse!$A$94:$A$110,0),MATCH('In-Use Stocks'!M$80,PlasticsUse!$B$93:$K$93,0))*(1-INDEX($N$76:$T$76,1,MATCH(M$80,$N$72:$T$72,0)))</f>
        <v>0</v>
      </c>
      <c r="N93" s="103">
        <f>INDEX(PlasticsUse!$B$94:$K$110,MATCH('In-Use Stocks'!$L93,PlasticsUse!$A$94:$A$110,0),MATCH('In-Use Stocks'!N$80,PlasticsUse!$B$93:$K$93,0))*(1-$P$76)</f>
        <v>0</v>
      </c>
      <c r="O93" s="103">
        <f>INDEX(PlasticsUse!$B$94:$K$110,MATCH('In-Use Stocks'!$L93,PlasticsUse!$A$94:$A$110,0),MATCH('In-Use Stocks'!O$80,PlasticsUse!$B$93:$K$93,0))*(1-INDEX($N$76:$T$76,1,MATCH(O$80,$N$72:$T$72,0)))</f>
        <v>0</v>
      </c>
      <c r="P93" s="103">
        <f>INDEX(PlasticsUse!$B$94:$K$110,MATCH('In-Use Stocks'!$L93,PlasticsUse!$A$94:$A$110,0),MATCH('In-Use Stocks'!P$80,PlasticsUse!$B$93:$K$93,0))*(1-INDEX($N$76:$T$76,1,MATCH(P$80,$N$72:$T$72,0)))</f>
        <v>0</v>
      </c>
      <c r="Q93" s="103">
        <f>INDEX(PlasticsUse!$B$94:$K$110,MATCH('In-Use Stocks'!$L93,PlasticsUse!$A$94:$A$110,0),MATCH('In-Use Stocks'!Q$80,PlasticsUse!$B$93:$K$93,0))*(1-INDEX($N$76:$T$76,1,MATCH(Q$80,$N$72:$T$72,0)))</f>
        <v>0</v>
      </c>
      <c r="R93" s="103">
        <f>INDEX(PlasticsUse!$B$94:$K$110,MATCH('In-Use Stocks'!$L93,PlasticsUse!$A$94:$A$110,0),MATCH('In-Use Stocks'!R$80,PlasticsUse!$B$93:$K$93,0))*(1-INDEX($N$76:$T$76,1,MATCH(R$80,$N$72:$T$72,0)))</f>
        <v>0</v>
      </c>
      <c r="S93" s="103">
        <f>INDEX(PlasticsUse!$B$94:$K$110,MATCH('In-Use Stocks'!$L93,PlasticsUse!$A$94:$A$110,0),MATCH('In-Use Stocks'!S$80,PlasticsUse!$B$93:$K$93,0))*(1-INDEX($N$76:$T$76,1,MATCH(S$80,$N$72:$T$72,0)))</f>
        <v>0</v>
      </c>
      <c r="T93" s="103">
        <f>INDEX(PlasticsUse!$B$94:$K$110,MATCH('In-Use Stocks'!$L93,PlasticsUse!$A$94:$A$110,0),MATCH('In-Use Stocks'!T$80,PlasticsUse!$B$93:$K$93,0))*(1-$P$76)</f>
        <v>0</v>
      </c>
      <c r="U93" s="103">
        <f>INDEX(PlasticsUse!$B$94:$K$110,MATCH('In-Use Stocks'!$L93,PlasticsUse!$A$94:$A$110,0),MATCH('In-Use Stocks'!U$80,PlasticsUse!$B$93:$K$93,0))*(1-$P$76)</f>
        <v>0</v>
      </c>
      <c r="V93" s="103">
        <f>INDEX(PlasticsUse!$B$94:$K$110,MATCH('In-Use Stocks'!$L93,PlasticsUse!$A$94:$A$110,0),MATCH('In-Use Stocks'!V$80,PlasticsUse!$B$93:$K$93,0))*(1-$P$76)</f>
        <v>0.5906203232650975</v>
      </c>
      <c r="W93" s="103">
        <f t="shared" si="18"/>
        <v>0.5906203232650975</v>
      </c>
    </row>
    <row r="94" spans="1:23" ht="16" x14ac:dyDescent="0.2">
      <c r="L94" s="39" t="str">
        <f>PlasticsUse!A107</f>
        <v>Polycarbonate</v>
      </c>
      <c r="M94" s="103">
        <f>INDEX(PlasticsUse!$B$94:$K$110,MATCH('In-Use Stocks'!$L94,PlasticsUse!$A$94:$A$110,0),MATCH('In-Use Stocks'!M$80,PlasticsUse!$B$93:$K$93,0))*(1-INDEX($N$76:$T$76,1,MATCH(M$80,$N$72:$T$72,0)))</f>
        <v>0.31058137849398898</v>
      </c>
      <c r="N94" s="103">
        <f>INDEX(PlasticsUse!$B$94:$K$110,MATCH('In-Use Stocks'!$L94,PlasticsUse!$A$94:$A$110,0),MATCH('In-Use Stocks'!N$80,PlasticsUse!$B$93:$K$93,0))*(1-$P$76)</f>
        <v>0</v>
      </c>
      <c r="O94" s="103">
        <f>INDEX(PlasticsUse!$B$94:$K$110,MATCH('In-Use Stocks'!$L94,PlasticsUse!$A$94:$A$110,0),MATCH('In-Use Stocks'!O$80,PlasticsUse!$B$93:$K$93,0))*(1-INDEX($N$76:$T$76,1,MATCH(O$80,$N$72:$T$72,0)))</f>
        <v>0.81944083760395414</v>
      </c>
      <c r="P94" s="103">
        <f>INDEX(PlasticsUse!$B$94:$K$110,MATCH('In-Use Stocks'!$L94,PlasticsUse!$A$94:$A$110,0),MATCH('In-Use Stocks'!P$80,PlasticsUse!$B$93:$K$93,0))*(1-INDEX($N$76:$T$76,1,MATCH(P$80,$N$72:$T$72,0)))</f>
        <v>0</v>
      </c>
      <c r="Q94" s="103">
        <f>INDEX(PlasticsUse!$B$94:$K$110,MATCH('In-Use Stocks'!$L94,PlasticsUse!$A$94:$A$110,0),MATCH('In-Use Stocks'!Q$80,PlasticsUse!$B$93:$K$93,0))*(1-INDEX($N$76:$T$76,1,MATCH(Q$80,$N$72:$T$72,0)))</f>
        <v>0.24026685338115103</v>
      </c>
      <c r="R94" s="103">
        <f>INDEX(PlasticsUse!$B$94:$K$110,MATCH('In-Use Stocks'!$L94,PlasticsUse!$A$94:$A$110,0),MATCH('In-Use Stocks'!R$80,PlasticsUse!$B$93:$K$93,0))*(1-INDEX($N$76:$T$76,1,MATCH(R$80,$N$72:$T$72,0)))</f>
        <v>1.0673341590444818</v>
      </c>
      <c r="S94" s="103">
        <f>INDEX(PlasticsUse!$B$94:$K$110,MATCH('In-Use Stocks'!$L94,PlasticsUse!$A$94:$A$110,0),MATCH('In-Use Stocks'!S$80,PlasticsUse!$B$93:$K$93,0))*(1-INDEX($N$76:$T$76,1,MATCH(S$80,$N$72:$T$72,0)))</f>
        <v>0.19533993537078584</v>
      </c>
      <c r="T94" s="103">
        <f>INDEX(PlasticsUse!$B$94:$K$110,MATCH('In-Use Stocks'!$L94,PlasticsUse!$A$94:$A$110,0),MATCH('In-Use Stocks'!T$80,PlasticsUse!$B$93:$K$93,0))*(1-$P$76)</f>
        <v>0</v>
      </c>
      <c r="U94" s="103">
        <f>INDEX(PlasticsUse!$B$94:$K$110,MATCH('In-Use Stocks'!$L94,PlasticsUse!$A$94:$A$110,0),MATCH('In-Use Stocks'!U$80,PlasticsUse!$B$93:$K$93,0))*(1-$P$76)</f>
        <v>0</v>
      </c>
      <c r="V94" s="103">
        <f>INDEX(PlasticsUse!$B$94:$K$110,MATCH('In-Use Stocks'!$L94,PlasticsUse!$A$94:$A$110,0),MATCH('In-Use Stocks'!V$80,PlasticsUse!$B$93:$K$93,0))*(1-$P$76)</f>
        <v>0.8450404917983797</v>
      </c>
      <c r="W94" s="103">
        <f t="shared" si="18"/>
        <v>3.4780036556927416</v>
      </c>
    </row>
    <row r="95" spans="1:23" ht="16" x14ac:dyDescent="0.2">
      <c r="L95" s="39" t="str">
        <f>PlasticsUse!A108</f>
        <v>Styrene butadiene rubber</v>
      </c>
      <c r="M95" s="103">
        <f>INDEX(PlasticsUse!$B$94:$K$110,MATCH('In-Use Stocks'!$L95,PlasticsUse!$A$94:$A$110,0),MATCH('In-Use Stocks'!M$80,PlasticsUse!$B$93:$K$93,0))*(1-INDEX($N$76:$T$76,1,MATCH(M$80,$N$72:$T$72,0)))</f>
        <v>0</v>
      </c>
      <c r="N95" s="103">
        <f>INDEX(PlasticsUse!$B$94:$K$110,MATCH('In-Use Stocks'!$L95,PlasticsUse!$A$94:$A$110,0),MATCH('In-Use Stocks'!N$80,PlasticsUse!$B$93:$K$93,0))*(1-$P$76)</f>
        <v>0</v>
      </c>
      <c r="O95" s="103">
        <f>INDEX(PlasticsUse!$B$94:$K$110,MATCH('In-Use Stocks'!$L95,PlasticsUse!$A$94:$A$110,0),MATCH('In-Use Stocks'!O$80,PlasticsUse!$B$93:$K$93,0))*(1-INDEX($N$76:$T$76,1,MATCH(O$80,$N$72:$T$72,0)))</f>
        <v>0.72861536240787916</v>
      </c>
      <c r="P95" s="103">
        <f>INDEX(PlasticsUse!$B$94:$K$110,MATCH('In-Use Stocks'!$L95,PlasticsUse!$A$94:$A$110,0),MATCH('In-Use Stocks'!P$80,PlasticsUse!$B$93:$K$93,0))*(1-INDEX($N$76:$T$76,1,MATCH(P$80,$N$72:$T$72,0)))</f>
        <v>0</v>
      </c>
      <c r="Q95" s="103">
        <f>INDEX(PlasticsUse!$B$94:$K$110,MATCH('In-Use Stocks'!$L95,PlasticsUse!$A$94:$A$110,0),MATCH('In-Use Stocks'!Q$80,PlasticsUse!$B$93:$K$93,0))*(1-INDEX($N$76:$T$76,1,MATCH(Q$80,$N$72:$T$72,0)))</f>
        <v>0</v>
      </c>
      <c r="R95" s="103">
        <f>INDEX(PlasticsUse!$B$94:$K$110,MATCH('In-Use Stocks'!$L95,PlasticsUse!$A$94:$A$110,0),MATCH('In-Use Stocks'!R$80,PlasticsUse!$B$93:$K$93,0))*(1-INDEX($N$76:$T$76,1,MATCH(R$80,$N$72:$T$72,0)))</f>
        <v>0</v>
      </c>
      <c r="S95" s="103">
        <f>INDEX(PlasticsUse!$B$94:$K$110,MATCH('In-Use Stocks'!$L95,PlasticsUse!$A$94:$A$110,0),MATCH('In-Use Stocks'!S$80,PlasticsUse!$B$93:$K$93,0))*(1-INDEX($N$76:$T$76,1,MATCH(S$80,$N$72:$T$72,0)))</f>
        <v>0</v>
      </c>
      <c r="T95" s="103">
        <f>INDEX(PlasticsUse!$B$94:$K$110,MATCH('In-Use Stocks'!$L95,PlasticsUse!$A$94:$A$110,0),MATCH('In-Use Stocks'!T$80,PlasticsUse!$B$93:$K$93,0))*(1-$P$76)</f>
        <v>5.2204894800384913E-2</v>
      </c>
      <c r="U95" s="103">
        <f>INDEX(PlasticsUse!$B$94:$K$110,MATCH('In-Use Stocks'!$L95,PlasticsUse!$A$94:$A$110,0),MATCH('In-Use Stocks'!U$80,PlasticsUse!$B$93:$K$93,0))*(1-$P$76)</f>
        <v>0.10385639041391555</v>
      </c>
      <c r="V95" s="103">
        <f>INDEX(PlasticsUse!$B$94:$K$110,MATCH('In-Use Stocks'!$L95,PlasticsUse!$A$94:$A$110,0),MATCH('In-Use Stocks'!V$80,PlasticsUse!$B$93:$K$93,0))*(1-$P$76)</f>
        <v>2.9831368457362002E-3</v>
      </c>
      <c r="W95" s="103">
        <f t="shared" si="18"/>
        <v>0.88765978446791582</v>
      </c>
    </row>
    <row r="96" spans="1:23" ht="16" x14ac:dyDescent="0.2">
      <c r="L96" s="39" t="s">
        <v>576</v>
      </c>
      <c r="M96" s="103">
        <f>INDEX(PlasticsUse!$B$94:$K$110,MATCH('In-Use Stocks'!$L96,PlasticsUse!$A$94:$A$110,0),MATCH('In-Use Stocks'!M$80,PlasticsUse!$B$93:$K$93,0))*(1-INDEX($N$76:$T$76,1,MATCH(M$80,$N$72:$T$72,0)))</f>
        <v>0</v>
      </c>
      <c r="N96" s="103">
        <f>INDEX(PlasticsUse!$B$94:$K$110,MATCH('In-Use Stocks'!$L96,PlasticsUse!$A$94:$A$110,0),MATCH('In-Use Stocks'!N$80,PlasticsUse!$B$93:$K$93,0))*(1-$P$76)</f>
        <v>0</v>
      </c>
      <c r="O96" s="103">
        <f>INDEX(PlasticsUse!$B$94:$K$110,MATCH('In-Use Stocks'!$L96,PlasticsUse!$A$94:$A$110,0),MATCH('In-Use Stocks'!O$80,PlasticsUse!$B$93:$K$93,0))*(1-INDEX($N$76:$T$76,1,MATCH(O$80,$N$72:$T$72,0)))</f>
        <v>0</v>
      </c>
      <c r="P96" s="103">
        <f>INDEX(PlasticsUse!$B$94:$K$110,MATCH('In-Use Stocks'!$L96,PlasticsUse!$A$94:$A$110,0),MATCH('In-Use Stocks'!P$80,PlasticsUse!$B$93:$K$93,0))*(1-INDEX($N$76:$T$76,1,MATCH(P$80,$N$72:$T$72,0)))</f>
        <v>0</v>
      </c>
      <c r="Q96" s="103">
        <f>INDEX(PlasticsUse!$B$94:$K$110,MATCH('In-Use Stocks'!$L96,PlasticsUse!$A$94:$A$110,0),MATCH('In-Use Stocks'!Q$80,PlasticsUse!$B$93:$K$93,0))*(1-INDEX($N$76:$T$76,1,MATCH(Q$80,$N$72:$T$72,0)))</f>
        <v>0</v>
      </c>
      <c r="R96" s="103">
        <f>INDEX(PlasticsUse!$B$94:$K$110,MATCH('In-Use Stocks'!$L96,PlasticsUse!$A$94:$A$110,0),MATCH('In-Use Stocks'!R$80,PlasticsUse!$B$93:$K$93,0))*(1-INDEX($N$76:$T$76,1,MATCH(R$80,$N$72:$T$72,0)))</f>
        <v>0</v>
      </c>
      <c r="S96" s="103">
        <f>INDEX(PlasticsUse!$B$94:$K$110,MATCH('In-Use Stocks'!$L96,PlasticsUse!$A$94:$A$110,0),MATCH('In-Use Stocks'!S$80,PlasticsUse!$B$93:$K$93,0))*(1-INDEX($N$76:$T$76,1,MATCH(S$80,$N$72:$T$72,0)))</f>
        <v>0</v>
      </c>
      <c r="T96" s="103">
        <f>INDEX(PlasticsUse!$B$94:$K$110,MATCH('In-Use Stocks'!$L96,PlasticsUse!$A$94:$A$110,0),MATCH('In-Use Stocks'!T$80,PlasticsUse!$B$93:$K$93,0))*(1-$P$76)</f>
        <v>0</v>
      </c>
      <c r="U96" s="103">
        <f>INDEX(PlasticsUse!$B$94:$K$110,MATCH('In-Use Stocks'!$L96,PlasticsUse!$A$94:$A$110,0),MATCH('In-Use Stocks'!U$80,PlasticsUse!$B$93:$K$93,0))*(1-$P$76)</f>
        <v>0</v>
      </c>
      <c r="V96" s="103">
        <f>INDEX(PlasticsUse!$B$94:$K$110,MATCH('In-Use Stocks'!$L96,PlasticsUse!$A$94:$A$110,0),MATCH('In-Use Stocks'!V$80,PlasticsUse!$B$93:$K$93,0))*(1-$P$76)</f>
        <v>1.8968011563510843</v>
      </c>
      <c r="W96" s="103">
        <f t="shared" si="18"/>
        <v>1.8968011563510843</v>
      </c>
    </row>
    <row r="97" spans="12:24" ht="16" x14ac:dyDescent="0.2">
      <c r="L97" s="39" t="s">
        <v>575</v>
      </c>
      <c r="M97" s="103">
        <f>INDEX(PlasticsUse!$B$94:$K$110,MATCH('In-Use Stocks'!$L97,PlasticsUse!$A$94:$A$110,0),MATCH('In-Use Stocks'!M$80,PlasticsUse!$B$93:$K$93,0))*(1-INDEX($N$76:$T$76,1,MATCH(M$80,$N$72:$T$72,0)))</f>
        <v>0</v>
      </c>
      <c r="N97" s="103">
        <f>INDEX(PlasticsUse!$B$94:$K$110,MATCH('In-Use Stocks'!$L97,PlasticsUse!$A$94:$A$110,0),MATCH('In-Use Stocks'!N$80,PlasticsUse!$B$93:$K$93,0))*(1-$P$76)</f>
        <v>0</v>
      </c>
      <c r="O97" s="103">
        <f>INDEX(PlasticsUse!$B$94:$K$110,MATCH('In-Use Stocks'!$L97,PlasticsUse!$A$94:$A$110,0),MATCH('In-Use Stocks'!O$80,PlasticsUse!$B$93:$K$93,0))*(1-INDEX($N$76:$T$76,1,MATCH(O$80,$N$72:$T$72,0)))</f>
        <v>0</v>
      </c>
      <c r="P97" s="103">
        <f>INDEX(PlasticsUse!$B$94:$K$110,MATCH('In-Use Stocks'!$L97,PlasticsUse!$A$94:$A$110,0),MATCH('In-Use Stocks'!P$80,PlasticsUse!$B$93:$K$93,0))*(1-INDEX($N$76:$T$76,1,MATCH(P$80,$N$72:$T$72,0)))</f>
        <v>0</v>
      </c>
      <c r="Q97" s="103">
        <f>INDEX(PlasticsUse!$B$94:$K$110,MATCH('In-Use Stocks'!$L97,PlasticsUse!$A$94:$A$110,0),MATCH('In-Use Stocks'!Q$80,PlasticsUse!$B$93:$K$93,0))*(1-INDEX($N$76:$T$76,1,MATCH(Q$80,$N$72:$T$72,0)))</f>
        <v>0</v>
      </c>
      <c r="R97" s="103">
        <f>INDEX(PlasticsUse!$B$94:$K$110,MATCH('In-Use Stocks'!$L97,PlasticsUse!$A$94:$A$110,0),MATCH('In-Use Stocks'!R$80,PlasticsUse!$B$93:$K$93,0))*(1-INDEX($N$76:$T$76,1,MATCH(R$80,$N$72:$T$72,0)))</f>
        <v>0</v>
      </c>
      <c r="S97" s="103">
        <f>INDEX(PlasticsUse!$B$94:$K$110,MATCH('In-Use Stocks'!$L97,PlasticsUse!$A$94:$A$110,0),MATCH('In-Use Stocks'!S$80,PlasticsUse!$B$93:$K$93,0))*(1-INDEX($N$76:$T$76,1,MATCH(S$80,$N$72:$T$72,0)))</f>
        <v>0</v>
      </c>
      <c r="T97" s="103">
        <f>INDEX(PlasticsUse!$B$94:$K$110,MATCH('In-Use Stocks'!$L97,PlasticsUse!$A$94:$A$110,0),MATCH('In-Use Stocks'!T$80,PlasticsUse!$B$93:$K$93,0))*(1-$P$76)</f>
        <v>0</v>
      </c>
      <c r="U97" s="103">
        <f>INDEX(PlasticsUse!$B$94:$K$110,MATCH('In-Use Stocks'!$L97,PlasticsUse!$A$94:$A$110,0),MATCH('In-Use Stocks'!U$80,PlasticsUse!$B$93:$K$93,0))*(1-$P$76)</f>
        <v>0</v>
      </c>
      <c r="V97" s="103">
        <f>INDEX(PlasticsUse!$B$94:$K$110,MATCH('In-Use Stocks'!$L97,PlasticsUse!$A$94:$A$110,0),MATCH('In-Use Stocks'!V$80,PlasticsUse!$B$93:$K$93,0))*(1-$P$76)</f>
        <v>0.8261398622005065</v>
      </c>
      <c r="W97" s="103">
        <f t="shared" si="18"/>
        <v>0.8261398622005065</v>
      </c>
    </row>
    <row r="98" spans="12:24" ht="16" x14ac:dyDescent="0.2">
      <c r="L98" s="39" t="s">
        <v>93</v>
      </c>
      <c r="M98" s="103">
        <f>SUM(M81:M97)</f>
        <v>1.8368418494687839</v>
      </c>
      <c r="N98" s="103">
        <f t="shared" ref="N98:W98" si="20">SUM(N81:N97)</f>
        <v>3.8476756115690525</v>
      </c>
      <c r="O98" s="103">
        <f t="shared" si="20"/>
        <v>5.715011289081362</v>
      </c>
      <c r="P98" s="103">
        <f t="shared" si="20"/>
        <v>2.9837572120723919</v>
      </c>
      <c r="Q98" s="103">
        <f t="shared" si="20"/>
        <v>8.1337442934776902</v>
      </c>
      <c r="R98" s="103">
        <f t="shared" si="20"/>
        <v>5.9008073978096149</v>
      </c>
      <c r="S98" s="103">
        <f t="shared" si="20"/>
        <v>4.1725929386789362</v>
      </c>
      <c r="T98" s="103">
        <f t="shared" si="20"/>
        <v>3.3209464785668699</v>
      </c>
      <c r="U98" s="103">
        <f t="shared" si="20"/>
        <v>2.9761251051033022</v>
      </c>
      <c r="V98" s="103">
        <f t="shared" si="20"/>
        <v>9.9729304031814561</v>
      </c>
      <c r="W98" s="103">
        <f t="shared" si="20"/>
        <v>48.860432579009448</v>
      </c>
      <c r="X98" s="145"/>
    </row>
    <row r="100" spans="12:24" ht="16" x14ac:dyDescent="0.2">
      <c r="L100" s="101"/>
      <c r="M100" s="185" t="s">
        <v>109</v>
      </c>
      <c r="N100" s="185"/>
      <c r="O100" s="185"/>
      <c r="P100" s="185"/>
      <c r="Q100" s="185"/>
      <c r="R100" s="185"/>
      <c r="S100" s="185"/>
      <c r="T100" s="185"/>
      <c r="U100" s="185"/>
      <c r="V100" s="185"/>
      <c r="W100" s="39"/>
    </row>
    <row r="101" spans="12:24" ht="16" x14ac:dyDescent="0.2">
      <c r="L101" s="39" t="str">
        <f>L80</f>
        <v>Resin Type</v>
      </c>
      <c r="M101" s="39" t="str">
        <f t="shared" ref="M101:V101" si="21">M80</f>
        <v>Building and Construction</v>
      </c>
      <c r="N101" s="39" t="str">
        <f t="shared" si="21"/>
        <v>Furniture and Furnishings</v>
      </c>
      <c r="O101" s="39" t="str">
        <f t="shared" si="21"/>
        <v>Transportation</v>
      </c>
      <c r="P101" s="39" t="str">
        <f t="shared" si="21"/>
        <v>Industrial/Machinery</v>
      </c>
      <c r="Q101" s="39" t="str">
        <f t="shared" si="21"/>
        <v>Packaging</v>
      </c>
      <c r="R101" s="39" t="str">
        <f t="shared" si="21"/>
        <v>Electrical/Electronic</v>
      </c>
      <c r="S101" s="39" t="str">
        <f t="shared" si="21"/>
        <v>Consumer and Institutional</v>
      </c>
      <c r="T101" s="39" t="str">
        <f t="shared" si="21"/>
        <v>Adhesives/Inks/Coatings</v>
      </c>
      <c r="U101" s="39" t="str">
        <f t="shared" si="21"/>
        <v>Textiles, Fibers and Apparel</v>
      </c>
      <c r="V101" s="39" t="str">
        <f t="shared" si="21"/>
        <v>Other End Use Markets</v>
      </c>
      <c r="W101" s="39" t="s">
        <v>93</v>
      </c>
    </row>
    <row r="102" spans="12:24" ht="16" x14ac:dyDescent="0.2">
      <c r="L102" s="39" t="str">
        <f t="shared" ref="L102:L116" si="22">L81</f>
        <v>Polyurethane</v>
      </c>
      <c r="M102" s="167">
        <f>M81/$W81</f>
        <v>4.3015707926724038E-2</v>
      </c>
      <c r="N102" s="167">
        <f t="shared" ref="N102:V102" si="23">N81/$W81</f>
        <v>0.10466457802840075</v>
      </c>
      <c r="O102" s="167">
        <f t="shared" si="23"/>
        <v>0.1134930494047118</v>
      </c>
      <c r="P102" s="167">
        <f t="shared" si="23"/>
        <v>8.3319465631813777E-2</v>
      </c>
      <c r="Q102" s="167">
        <f t="shared" si="23"/>
        <v>0.13310841544502511</v>
      </c>
      <c r="R102" s="167">
        <f t="shared" si="23"/>
        <v>0.11826113894735422</v>
      </c>
      <c r="S102" s="167">
        <f t="shared" si="23"/>
        <v>0.10821879466282941</v>
      </c>
      <c r="T102" s="167">
        <f t="shared" si="23"/>
        <v>9.3630893539634052E-2</v>
      </c>
      <c r="U102" s="167">
        <f t="shared" si="23"/>
        <v>0.10865706287387268</v>
      </c>
      <c r="V102" s="167">
        <f t="shared" si="23"/>
        <v>9.3630893539634052E-2</v>
      </c>
      <c r="W102" s="167">
        <f>SUM(M102:V102)</f>
        <v>0.99999999999999989</v>
      </c>
    </row>
    <row r="103" spans="12:24" ht="16" x14ac:dyDescent="0.2">
      <c r="L103" s="39" t="str">
        <f t="shared" si="22"/>
        <v>Other thermosets</v>
      </c>
      <c r="M103" s="167">
        <f t="shared" ref="M103:V118" si="24">M82/$W82</f>
        <v>0</v>
      </c>
      <c r="N103" s="167">
        <f t="shared" si="24"/>
        <v>0</v>
      </c>
      <c r="O103" s="167">
        <f t="shared" si="24"/>
        <v>0</v>
      </c>
      <c r="P103" s="167">
        <f t="shared" si="24"/>
        <v>0</v>
      </c>
      <c r="Q103" s="167">
        <f t="shared" si="24"/>
        <v>0</v>
      </c>
      <c r="R103" s="167">
        <f t="shared" si="24"/>
        <v>0</v>
      </c>
      <c r="S103" s="167">
        <f t="shared" si="24"/>
        <v>0</v>
      </c>
      <c r="T103" s="167">
        <f t="shared" si="24"/>
        <v>0</v>
      </c>
      <c r="U103" s="167">
        <f t="shared" si="24"/>
        <v>0</v>
      </c>
      <c r="V103" s="167">
        <f t="shared" si="24"/>
        <v>1</v>
      </c>
      <c r="W103" s="103">
        <f t="shared" ref="W103:W118" si="25">SUM(M103:V103)</f>
        <v>1</v>
      </c>
    </row>
    <row r="104" spans="12:24" ht="16" x14ac:dyDescent="0.2">
      <c r="L104" s="39" t="str">
        <f t="shared" si="22"/>
        <v>LDPE</v>
      </c>
      <c r="M104" s="167">
        <f t="shared" si="24"/>
        <v>4.8259436559194055E-2</v>
      </c>
      <c r="N104" s="167">
        <f t="shared" si="24"/>
        <v>0.11742346707302227</v>
      </c>
      <c r="O104" s="167">
        <f t="shared" si="24"/>
        <v>0.12732815247365586</v>
      </c>
      <c r="P104" s="167">
        <f t="shared" si="24"/>
        <v>9.3476328987867285E-2</v>
      </c>
      <c r="Q104" s="167">
        <f t="shared" si="24"/>
        <v>0.14933468354412949</v>
      </c>
      <c r="R104" s="167">
        <f t="shared" si="24"/>
        <v>0.13267748474975569</v>
      </c>
      <c r="S104" s="167">
        <f t="shared" si="24"/>
        <v>0.12141095212101981</v>
      </c>
      <c r="T104" s="167">
        <f t="shared" si="24"/>
        <v>0.10504474724567772</v>
      </c>
      <c r="U104" s="167">
        <f t="shared" si="24"/>
        <v>0</v>
      </c>
      <c r="V104" s="167">
        <f t="shared" si="24"/>
        <v>0.10504474724567772</v>
      </c>
      <c r="W104" s="103">
        <f t="shared" si="25"/>
        <v>0.99999999999999989</v>
      </c>
    </row>
    <row r="105" spans="12:24" ht="16" x14ac:dyDescent="0.2">
      <c r="L105" s="39" t="str">
        <f t="shared" si="22"/>
        <v>LLDPE</v>
      </c>
      <c r="M105" s="167">
        <f t="shared" si="24"/>
        <v>4.8259436559194062E-2</v>
      </c>
      <c r="N105" s="167">
        <f t="shared" si="24"/>
        <v>0.11742346707302227</v>
      </c>
      <c r="O105" s="167">
        <f t="shared" si="24"/>
        <v>0.12732815247365589</v>
      </c>
      <c r="P105" s="167">
        <f t="shared" si="24"/>
        <v>9.3476328987867299E-2</v>
      </c>
      <c r="Q105" s="167">
        <f t="shared" si="24"/>
        <v>0.14933468354412949</v>
      </c>
      <c r="R105" s="167">
        <f t="shared" si="24"/>
        <v>0.13267748474975571</v>
      </c>
      <c r="S105" s="167">
        <f t="shared" si="24"/>
        <v>0.12141095212101982</v>
      </c>
      <c r="T105" s="167">
        <f t="shared" si="24"/>
        <v>0.10504474724567774</v>
      </c>
      <c r="U105" s="167">
        <f t="shared" si="24"/>
        <v>0</v>
      </c>
      <c r="V105" s="167">
        <f t="shared" si="24"/>
        <v>0.10504474724567774</v>
      </c>
      <c r="W105" s="103">
        <f t="shared" si="25"/>
        <v>0.99999999999999989</v>
      </c>
    </row>
    <row r="106" spans="12:24" ht="16" x14ac:dyDescent="0.2">
      <c r="L106" s="39" t="str">
        <f t="shared" si="22"/>
        <v>HDPE</v>
      </c>
      <c r="M106" s="167">
        <f t="shared" si="24"/>
        <v>4.8259436559194069E-2</v>
      </c>
      <c r="N106" s="167">
        <f t="shared" si="24"/>
        <v>0.11742346707302227</v>
      </c>
      <c r="O106" s="167">
        <f t="shared" si="24"/>
        <v>0.12732815247365589</v>
      </c>
      <c r="P106" s="167">
        <f t="shared" si="24"/>
        <v>9.3476328987867299E-2</v>
      </c>
      <c r="Q106" s="167">
        <f t="shared" si="24"/>
        <v>0.14933468354412952</v>
      </c>
      <c r="R106" s="167">
        <f t="shared" si="24"/>
        <v>0.13267748474975574</v>
      </c>
      <c r="S106" s="167">
        <f t="shared" si="24"/>
        <v>0.12141095212101982</v>
      </c>
      <c r="T106" s="167">
        <f t="shared" si="24"/>
        <v>0.10504474724567774</v>
      </c>
      <c r="U106" s="167">
        <f t="shared" si="24"/>
        <v>0</v>
      </c>
      <c r="V106" s="167">
        <f t="shared" si="24"/>
        <v>0.10504474724567774</v>
      </c>
      <c r="W106" s="103">
        <f t="shared" si="25"/>
        <v>0.99999999999999989</v>
      </c>
    </row>
    <row r="107" spans="12:24" ht="16" x14ac:dyDescent="0.2">
      <c r="L107" s="39" t="str">
        <f t="shared" si="22"/>
        <v>PP</v>
      </c>
      <c r="M107" s="167">
        <f t="shared" si="24"/>
        <v>4.8259436559194055E-2</v>
      </c>
      <c r="N107" s="167">
        <f t="shared" si="24"/>
        <v>0.11742346707302227</v>
      </c>
      <c r="O107" s="167">
        <f t="shared" si="24"/>
        <v>0.12732815247365589</v>
      </c>
      <c r="P107" s="167">
        <f t="shared" si="24"/>
        <v>9.3476328987867299E-2</v>
      </c>
      <c r="Q107" s="167">
        <f t="shared" si="24"/>
        <v>0.14933468354412949</v>
      </c>
      <c r="R107" s="167">
        <f t="shared" si="24"/>
        <v>0.13267748474975571</v>
      </c>
      <c r="S107" s="167">
        <f t="shared" si="24"/>
        <v>0.12141095212101981</v>
      </c>
      <c r="T107" s="167">
        <f t="shared" si="24"/>
        <v>0.10504474724567772</v>
      </c>
      <c r="U107" s="167">
        <f t="shared" si="24"/>
        <v>0</v>
      </c>
      <c r="V107" s="167">
        <f t="shared" si="24"/>
        <v>0.10504474724567772</v>
      </c>
      <c r="W107" s="103">
        <f t="shared" si="25"/>
        <v>0.99999999999999989</v>
      </c>
    </row>
    <row r="108" spans="12:24" ht="16" x14ac:dyDescent="0.2">
      <c r="L108" s="39" t="str">
        <f t="shared" si="22"/>
        <v>PS</v>
      </c>
      <c r="M108" s="167">
        <f t="shared" si="24"/>
        <v>4.8259436559194069E-2</v>
      </c>
      <c r="N108" s="167">
        <f t="shared" si="24"/>
        <v>0.11742346707302229</v>
      </c>
      <c r="O108" s="167">
        <f t="shared" si="24"/>
        <v>0.12732815247365592</v>
      </c>
      <c r="P108" s="167">
        <f t="shared" si="24"/>
        <v>9.3476328987867299E-2</v>
      </c>
      <c r="Q108" s="167">
        <f t="shared" si="24"/>
        <v>0.14933468354412952</v>
      </c>
      <c r="R108" s="167">
        <f t="shared" si="24"/>
        <v>0.13267748474975574</v>
      </c>
      <c r="S108" s="167">
        <f t="shared" si="24"/>
        <v>0.12141095212101982</v>
      </c>
      <c r="T108" s="167">
        <f t="shared" si="24"/>
        <v>0.10504474724567772</v>
      </c>
      <c r="U108" s="167">
        <f t="shared" si="24"/>
        <v>0</v>
      </c>
      <c r="V108" s="167">
        <f t="shared" si="24"/>
        <v>0.10504474724567772</v>
      </c>
      <c r="W108" s="103">
        <f t="shared" si="25"/>
        <v>1</v>
      </c>
    </row>
    <row r="109" spans="12:24" ht="16" x14ac:dyDescent="0.2">
      <c r="L109" s="39" t="str">
        <f t="shared" si="22"/>
        <v>EPS</v>
      </c>
      <c r="M109" s="167">
        <f t="shared" si="24"/>
        <v>4.8259436559194069E-2</v>
      </c>
      <c r="N109" s="167">
        <f t="shared" si="24"/>
        <v>0.11742346707302227</v>
      </c>
      <c r="O109" s="167">
        <f t="shared" si="24"/>
        <v>0.12732815247365589</v>
      </c>
      <c r="P109" s="167">
        <f t="shared" si="24"/>
        <v>9.3476328987867285E-2</v>
      </c>
      <c r="Q109" s="167">
        <f t="shared" si="24"/>
        <v>0.14933468354412952</v>
      </c>
      <c r="R109" s="167">
        <f t="shared" si="24"/>
        <v>0.13267748474975571</v>
      </c>
      <c r="S109" s="167">
        <f t="shared" si="24"/>
        <v>0.12141095212101981</v>
      </c>
      <c r="T109" s="167">
        <f t="shared" si="24"/>
        <v>0.10504474724567774</v>
      </c>
      <c r="U109" s="167">
        <f t="shared" si="24"/>
        <v>0</v>
      </c>
      <c r="V109" s="167">
        <f t="shared" si="24"/>
        <v>0.10504474724567774</v>
      </c>
      <c r="W109" s="103">
        <f t="shared" si="25"/>
        <v>0.99999999999999989</v>
      </c>
    </row>
    <row r="110" spans="12:24" ht="16" x14ac:dyDescent="0.2">
      <c r="L110" s="39" t="str">
        <f t="shared" si="22"/>
        <v>PVC</v>
      </c>
      <c r="M110" s="167">
        <f t="shared" si="24"/>
        <v>4.8259436559194062E-2</v>
      </c>
      <c r="N110" s="167">
        <f t="shared" si="24"/>
        <v>0.11742346707302227</v>
      </c>
      <c r="O110" s="167">
        <f t="shared" si="24"/>
        <v>0.12732815247365589</v>
      </c>
      <c r="P110" s="167">
        <f t="shared" si="24"/>
        <v>9.3476328987867285E-2</v>
      </c>
      <c r="Q110" s="167">
        <f t="shared" si="24"/>
        <v>0.14933468354412949</v>
      </c>
      <c r="R110" s="167">
        <f t="shared" si="24"/>
        <v>0.13267748474975571</v>
      </c>
      <c r="S110" s="167">
        <f t="shared" si="24"/>
        <v>0.12141095212101981</v>
      </c>
      <c r="T110" s="167">
        <f t="shared" si="24"/>
        <v>0.10504474724567772</v>
      </c>
      <c r="U110" s="167">
        <f t="shared" si="24"/>
        <v>0</v>
      </c>
      <c r="V110" s="167">
        <f t="shared" si="24"/>
        <v>0.10504474724567772</v>
      </c>
      <c r="W110" s="103">
        <f t="shared" si="25"/>
        <v>0.99999999999999989</v>
      </c>
    </row>
    <row r="111" spans="12:24" ht="16" x14ac:dyDescent="0.2">
      <c r="L111" s="39" t="str">
        <f t="shared" si="22"/>
        <v>PET</v>
      </c>
      <c r="M111" s="167">
        <f t="shared" si="24"/>
        <v>0</v>
      </c>
      <c r="N111" s="167">
        <f t="shared" si="24"/>
        <v>0</v>
      </c>
      <c r="O111" s="167">
        <f t="shared" si="24"/>
        <v>0</v>
      </c>
      <c r="P111" s="167">
        <f t="shared" si="24"/>
        <v>0</v>
      </c>
      <c r="Q111" s="167">
        <f t="shared" si="24"/>
        <v>0.85123998013326685</v>
      </c>
      <c r="R111" s="167">
        <f t="shared" si="24"/>
        <v>0</v>
      </c>
      <c r="S111" s="167">
        <f t="shared" si="24"/>
        <v>0</v>
      </c>
      <c r="T111" s="167">
        <f t="shared" si="24"/>
        <v>0</v>
      </c>
      <c r="U111" s="167">
        <f t="shared" si="24"/>
        <v>0</v>
      </c>
      <c r="V111" s="167">
        <f t="shared" si="24"/>
        <v>0.14876001986673321</v>
      </c>
      <c r="W111" s="103">
        <f t="shared" si="25"/>
        <v>1</v>
      </c>
    </row>
    <row r="112" spans="12:24" ht="16" x14ac:dyDescent="0.2">
      <c r="L112" s="39" t="str">
        <f t="shared" si="22"/>
        <v>Polyester fiber</v>
      </c>
      <c r="M112" s="167">
        <f t="shared" si="24"/>
        <v>2.1241361471859156E-2</v>
      </c>
      <c r="N112" s="167">
        <f t="shared" si="24"/>
        <v>2.1793943830154539E-2</v>
      </c>
      <c r="O112" s="167">
        <f t="shared" si="24"/>
        <v>0.14856880540000234</v>
      </c>
      <c r="P112" s="167">
        <f t="shared" si="24"/>
        <v>0</v>
      </c>
      <c r="Q112" s="167">
        <f t="shared" si="24"/>
        <v>0</v>
      </c>
      <c r="R112" s="167">
        <f t="shared" si="24"/>
        <v>0.48937334957518619</v>
      </c>
      <c r="S112" s="167">
        <f t="shared" si="24"/>
        <v>0.15783308411694547</v>
      </c>
      <c r="T112" s="167">
        <f t="shared" si="24"/>
        <v>0</v>
      </c>
      <c r="U112" s="167">
        <f t="shared" si="24"/>
        <v>9.6459921892376094E-2</v>
      </c>
      <c r="V112" s="167">
        <f t="shared" si="24"/>
        <v>6.4729533713476312E-2</v>
      </c>
      <c r="W112" s="103">
        <f t="shared" si="25"/>
        <v>1</v>
      </c>
    </row>
    <row r="113" spans="12:23" ht="16" x14ac:dyDescent="0.2">
      <c r="L113" s="39" t="str">
        <f t="shared" si="22"/>
        <v>ABS</v>
      </c>
      <c r="M113" s="167">
        <f t="shared" si="24"/>
        <v>0</v>
      </c>
      <c r="N113" s="167">
        <f t="shared" si="24"/>
        <v>0.17184964208932541</v>
      </c>
      <c r="O113" s="167">
        <f t="shared" si="24"/>
        <v>3.3799520672125292E-2</v>
      </c>
      <c r="P113" s="167">
        <f t="shared" si="24"/>
        <v>7.6462051181002799E-2</v>
      </c>
      <c r="Q113" s="167">
        <f t="shared" si="24"/>
        <v>0</v>
      </c>
      <c r="R113" s="167">
        <f t="shared" si="24"/>
        <v>0.14217267508983686</v>
      </c>
      <c r="S113" s="167">
        <f t="shared" si="24"/>
        <v>1.7204774177402057E-2</v>
      </c>
      <c r="T113" s="167">
        <f t="shared" si="24"/>
        <v>0</v>
      </c>
      <c r="U113" s="167">
        <f t="shared" si="24"/>
        <v>0.55851133679030751</v>
      </c>
      <c r="V113" s="167">
        <f t="shared" si="24"/>
        <v>0</v>
      </c>
      <c r="W113" s="103">
        <f t="shared" si="25"/>
        <v>1</v>
      </c>
    </row>
    <row r="114" spans="12:23" ht="16" x14ac:dyDescent="0.2">
      <c r="L114" s="39" t="str">
        <f t="shared" si="22"/>
        <v>Polyamide nylon</v>
      </c>
      <c r="M114" s="167">
        <f t="shared" si="24"/>
        <v>0</v>
      </c>
      <c r="N114" s="167">
        <f t="shared" si="24"/>
        <v>0</v>
      </c>
      <c r="O114" s="167">
        <f t="shared" si="24"/>
        <v>0</v>
      </c>
      <c r="P114" s="167">
        <f t="shared" si="24"/>
        <v>0</v>
      </c>
      <c r="Q114" s="167">
        <f t="shared" si="24"/>
        <v>0</v>
      </c>
      <c r="R114" s="167">
        <f t="shared" si="24"/>
        <v>0</v>
      </c>
      <c r="S114" s="167">
        <f t="shared" si="24"/>
        <v>0</v>
      </c>
      <c r="T114" s="167">
        <f t="shared" si="24"/>
        <v>0</v>
      </c>
      <c r="U114" s="167">
        <f t="shared" si="24"/>
        <v>0</v>
      </c>
      <c r="V114" s="167">
        <f t="shared" si="24"/>
        <v>1</v>
      </c>
      <c r="W114" s="103">
        <f t="shared" si="25"/>
        <v>1</v>
      </c>
    </row>
    <row r="115" spans="12:23" ht="16" x14ac:dyDescent="0.2">
      <c r="L115" s="39" t="str">
        <f t="shared" si="22"/>
        <v>Polycarbonate</v>
      </c>
      <c r="M115" s="167">
        <f t="shared" si="24"/>
        <v>8.9298749869234403E-2</v>
      </c>
      <c r="N115" s="167">
        <f t="shared" si="24"/>
        <v>0</v>
      </c>
      <c r="O115" s="167">
        <f t="shared" si="24"/>
        <v>0.23560666368556177</v>
      </c>
      <c r="P115" s="167">
        <f t="shared" si="24"/>
        <v>0</v>
      </c>
      <c r="Q115" s="167">
        <f t="shared" si="24"/>
        <v>6.9081828878438931E-2</v>
      </c>
      <c r="R115" s="167">
        <f t="shared" si="24"/>
        <v>0.30688126428432189</v>
      </c>
      <c r="S115" s="167">
        <f t="shared" si="24"/>
        <v>5.616438471853142E-2</v>
      </c>
      <c r="T115" s="167">
        <f t="shared" si="24"/>
        <v>0</v>
      </c>
      <c r="U115" s="167">
        <f t="shared" si="24"/>
        <v>0</v>
      </c>
      <c r="V115" s="167">
        <f t="shared" si="24"/>
        <v>0.24296710856391157</v>
      </c>
      <c r="W115" s="103">
        <f t="shared" si="25"/>
        <v>1</v>
      </c>
    </row>
    <row r="116" spans="12:23" ht="16" x14ac:dyDescent="0.2">
      <c r="L116" s="39" t="str">
        <f t="shared" si="22"/>
        <v>Styrene butadiene rubber</v>
      </c>
      <c r="M116" s="167">
        <f t="shared" si="24"/>
        <v>0</v>
      </c>
      <c r="N116" s="167">
        <f t="shared" si="24"/>
        <v>0</v>
      </c>
      <c r="O116" s="167">
        <f t="shared" si="24"/>
        <v>0.82082727544610845</v>
      </c>
      <c r="P116" s="167">
        <f t="shared" si="24"/>
        <v>0</v>
      </c>
      <c r="Q116" s="167">
        <f t="shared" si="24"/>
        <v>0</v>
      </c>
      <c r="R116" s="167">
        <f t="shared" si="24"/>
        <v>0</v>
      </c>
      <c r="S116" s="167">
        <f t="shared" si="24"/>
        <v>0</v>
      </c>
      <c r="T116" s="167">
        <f t="shared" si="24"/>
        <v>5.8811828263322478E-2</v>
      </c>
      <c r="U116" s="167">
        <f t="shared" si="24"/>
        <v>0.11700022038980792</v>
      </c>
      <c r="V116" s="167">
        <f t="shared" si="24"/>
        <v>3.360675900761194E-3</v>
      </c>
      <c r="W116" s="103">
        <f t="shared" si="25"/>
        <v>1</v>
      </c>
    </row>
    <row r="117" spans="12:23" ht="16" x14ac:dyDescent="0.2">
      <c r="L117" s="39" t="s">
        <v>576</v>
      </c>
      <c r="M117" s="167">
        <f t="shared" si="24"/>
        <v>0</v>
      </c>
      <c r="N117" s="167">
        <f t="shared" si="24"/>
        <v>0</v>
      </c>
      <c r="O117" s="167">
        <f t="shared" si="24"/>
        <v>0</v>
      </c>
      <c r="P117" s="167">
        <f t="shared" si="24"/>
        <v>0</v>
      </c>
      <c r="Q117" s="167">
        <f t="shared" si="24"/>
        <v>0</v>
      </c>
      <c r="R117" s="167">
        <f t="shared" si="24"/>
        <v>0</v>
      </c>
      <c r="S117" s="167">
        <f t="shared" si="24"/>
        <v>0</v>
      </c>
      <c r="T117" s="167">
        <f t="shared" si="24"/>
        <v>0</v>
      </c>
      <c r="U117" s="167">
        <f t="shared" si="24"/>
        <v>0</v>
      </c>
      <c r="V117" s="167">
        <f t="shared" si="24"/>
        <v>1</v>
      </c>
      <c r="W117" s="103">
        <f t="shared" si="25"/>
        <v>1</v>
      </c>
    </row>
    <row r="118" spans="12:23" ht="16" x14ac:dyDescent="0.2">
      <c r="L118" s="39" t="s">
        <v>575</v>
      </c>
      <c r="M118" s="167">
        <f t="shared" si="24"/>
        <v>0</v>
      </c>
      <c r="N118" s="167">
        <f t="shared" si="24"/>
        <v>0</v>
      </c>
      <c r="O118" s="167">
        <f t="shared" si="24"/>
        <v>0</v>
      </c>
      <c r="P118" s="167">
        <f t="shared" si="24"/>
        <v>0</v>
      </c>
      <c r="Q118" s="167">
        <f t="shared" si="24"/>
        <v>0</v>
      </c>
      <c r="R118" s="167">
        <f t="shared" si="24"/>
        <v>0</v>
      </c>
      <c r="S118" s="167">
        <f t="shared" si="24"/>
        <v>0</v>
      </c>
      <c r="T118" s="167">
        <f t="shared" si="24"/>
        <v>0</v>
      </c>
      <c r="U118" s="167">
        <f t="shared" si="24"/>
        <v>0</v>
      </c>
      <c r="V118" s="167">
        <f t="shared" si="24"/>
        <v>1</v>
      </c>
      <c r="W118" s="103">
        <f t="shared" si="25"/>
        <v>1</v>
      </c>
    </row>
    <row r="119" spans="12:23" ht="16" x14ac:dyDescent="0.2">
      <c r="L119" s="39" t="s">
        <v>93</v>
      </c>
      <c r="M119" s="103">
        <f>SUM(M102:M118)</f>
        <v>0.49137187518217607</v>
      </c>
      <c r="N119" s="103">
        <f t="shared" ref="N119:W119" si="26">SUM(N102:N118)</f>
        <v>1.1202724334590366</v>
      </c>
      <c r="O119" s="103">
        <f t="shared" si="26"/>
        <v>2.2435923819241008</v>
      </c>
      <c r="P119" s="103">
        <f t="shared" si="26"/>
        <v>0.8141158197278876</v>
      </c>
      <c r="Q119" s="103">
        <f t="shared" si="26"/>
        <v>2.0987730092656371</v>
      </c>
      <c r="R119" s="103">
        <f t="shared" si="26"/>
        <v>1.9854308211449891</v>
      </c>
      <c r="S119" s="103">
        <f t="shared" si="26"/>
        <v>1.1892977025228468</v>
      </c>
      <c r="T119" s="103">
        <f t="shared" si="26"/>
        <v>0.88775595252270045</v>
      </c>
      <c r="U119" s="103">
        <f t="shared" si="26"/>
        <v>0.8806285419463642</v>
      </c>
      <c r="V119" s="103">
        <f t="shared" si="26"/>
        <v>5.2887614623042598</v>
      </c>
      <c r="W119" s="103">
        <f t="shared" si="26"/>
        <v>17</v>
      </c>
    </row>
  </sheetData>
  <mergeCells count="6">
    <mergeCell ref="M100:V100"/>
    <mergeCell ref="B12:F12"/>
    <mergeCell ref="N21:T21"/>
    <mergeCell ref="N24:T24"/>
    <mergeCell ref="M79:V79"/>
    <mergeCell ref="N71:U71"/>
  </mergeCells>
  <pageMargins left="0.7" right="0.7" top="0.75" bottom="0.75" header="0.3" footer="0.3"/>
  <pageSetup orientation="portrait" horizontalDpi="0" verticalDpi="0"/>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D122CB-01ED-D444-990F-319C28E420E1}">
  <dimension ref="A1:AA272"/>
  <sheetViews>
    <sheetView topLeftCell="C58" zoomScale="120" zoomScaleNormal="120" workbookViewId="0">
      <selection activeCell="J64" sqref="J64:J80"/>
    </sheetView>
  </sheetViews>
  <sheetFormatPr baseColWidth="10" defaultRowHeight="16" x14ac:dyDescent="0.2"/>
  <cols>
    <col min="1" max="1" width="14.83203125" customWidth="1"/>
    <col min="2" max="2" width="21.6640625" customWidth="1"/>
    <col min="3" max="3" width="19.83203125" customWidth="1"/>
    <col min="4" max="4" width="19.5" customWidth="1"/>
    <col min="5" max="5" width="26.33203125" customWidth="1"/>
    <col min="6" max="6" width="20.1640625" customWidth="1"/>
    <col min="7" max="7" width="15.33203125" customWidth="1"/>
    <col min="8" max="8" width="16.33203125" customWidth="1"/>
    <col min="9" max="9" width="15.33203125" customWidth="1"/>
    <col min="10" max="10" width="11.6640625" bestFit="1" customWidth="1"/>
    <col min="19" max="19" width="12.6640625" bestFit="1" customWidth="1"/>
    <col min="22" max="22" width="11.83203125" customWidth="1"/>
  </cols>
  <sheetData>
    <row r="1" spans="1:7" ht="21" x14ac:dyDescent="0.25">
      <c r="A1" s="19" t="s">
        <v>75</v>
      </c>
    </row>
    <row r="2" spans="1:7" x14ac:dyDescent="0.2">
      <c r="A2" s="2"/>
    </row>
    <row r="3" spans="1:7" ht="19" x14ac:dyDescent="0.25">
      <c r="A3" s="12" t="s">
        <v>136</v>
      </c>
      <c r="G3" s="2"/>
    </row>
    <row r="4" spans="1:7" x14ac:dyDescent="0.2">
      <c r="A4" s="38"/>
      <c r="B4" s="185" t="s">
        <v>109</v>
      </c>
      <c r="C4" s="185"/>
      <c r="D4" s="185"/>
      <c r="E4" s="185"/>
    </row>
    <row r="5" spans="1:7" x14ac:dyDescent="0.2">
      <c r="A5" s="39" t="s">
        <v>76</v>
      </c>
      <c r="B5" s="39" t="s">
        <v>27</v>
      </c>
      <c r="C5" s="39" t="s">
        <v>4</v>
      </c>
      <c r="D5" s="39" t="s">
        <v>5</v>
      </c>
      <c r="E5" s="39" t="s">
        <v>6</v>
      </c>
    </row>
    <row r="6" spans="1:7" x14ac:dyDescent="0.2">
      <c r="A6" s="40" t="s">
        <v>0</v>
      </c>
      <c r="B6" s="41">
        <f>20*short_ton_to_MT/1000</f>
        <v>1.8181818181818181E-2</v>
      </c>
      <c r="C6" s="41">
        <f>18*short_ton_to_MT/1000</f>
        <v>1.6363636363636365E-2</v>
      </c>
      <c r="D6" s="41"/>
      <c r="E6" s="42">
        <f>2*short_ton_to_MT/1000</f>
        <v>1.8181818181818182E-3</v>
      </c>
    </row>
    <row r="7" spans="1:7" x14ac:dyDescent="0.2">
      <c r="A7" s="40" t="s">
        <v>2</v>
      </c>
      <c r="B7" s="41">
        <f>5290*short_ton_to_MT/1000</f>
        <v>4.8090909090909086</v>
      </c>
      <c r="C7" s="41">
        <f>980*short_ton_to_MT/1000</f>
        <v>0.89090909090909087</v>
      </c>
      <c r="D7" s="41">
        <f>440*short_ton_to_MT/1000</f>
        <v>0.4</v>
      </c>
      <c r="E7" s="41">
        <f>1780*short_ton_to_MT/1000</f>
        <v>1.6181818181818179</v>
      </c>
    </row>
    <row r="8" spans="1:7" x14ac:dyDescent="0.2">
      <c r="A8" s="40" t="s">
        <v>1</v>
      </c>
      <c r="B8" s="41">
        <f>6300*short_ton_to_MT/1000</f>
        <v>5.7272727272727266</v>
      </c>
      <c r="C8" s="41">
        <f>560*short_ton_to_MT/1000</f>
        <v>0.50909090909090904</v>
      </c>
      <c r="D8" s="41">
        <f>100*short_ton_to_MT/1000</f>
        <v>9.0909090909090912E-2</v>
      </c>
      <c r="E8" s="41">
        <f>430*short_ton_to_MT/1000</f>
        <v>0.39090909090909087</v>
      </c>
    </row>
    <row r="9" spans="1:7" x14ac:dyDescent="0.2">
      <c r="A9" s="40" t="s">
        <v>7</v>
      </c>
      <c r="B9" s="41">
        <f>840*short_ton_to_MT/1000</f>
        <v>0.76363636363636367</v>
      </c>
      <c r="C9" s="41">
        <v>0</v>
      </c>
      <c r="D9" s="41"/>
      <c r="E9" s="41"/>
    </row>
    <row r="10" spans="1:7" x14ac:dyDescent="0.2">
      <c r="A10" s="40" t="s">
        <v>8</v>
      </c>
      <c r="B10" s="41">
        <f>8590*short_ton_to_MT/1000</f>
        <v>7.8090909090909086</v>
      </c>
      <c r="C10" s="41">
        <f>370*short_ton_to_MT/1000</f>
        <v>0.33636363636363636</v>
      </c>
      <c r="D10" s="41"/>
      <c r="E10" s="41"/>
    </row>
    <row r="11" spans="1:7" x14ac:dyDescent="0.2">
      <c r="A11" s="40" t="s">
        <v>9</v>
      </c>
      <c r="B11" s="41">
        <f>90*short_ton_to_MT/1000</f>
        <v>8.1818181818181818E-2</v>
      </c>
      <c r="C11" s="41">
        <v>0</v>
      </c>
      <c r="D11" s="41"/>
      <c r="E11" s="41"/>
    </row>
    <row r="12" spans="1:7" x14ac:dyDescent="0.2">
      <c r="A12" s="40" t="s">
        <v>10</v>
      </c>
      <c r="B12" s="41">
        <f>8150*short_ton_to_MT/1000</f>
        <v>7.4090909090909092</v>
      </c>
      <c r="C12" s="41">
        <f>50*short_ton_to_MT/1000</f>
        <v>4.5454545454545456E-2</v>
      </c>
      <c r="D12" s="41"/>
      <c r="E12" s="41"/>
    </row>
    <row r="13" spans="1:7" x14ac:dyDescent="0.2">
      <c r="A13" s="40" t="s">
        <v>11</v>
      </c>
      <c r="B13" s="41">
        <f>2260*short_ton_to_MT/1000</f>
        <v>2.0545454545454547</v>
      </c>
      <c r="C13" s="41">
        <f>20*short_ton_to_MT/1000</f>
        <v>1.8181818181818181E-2</v>
      </c>
      <c r="D13" s="41"/>
      <c r="E13" s="41"/>
    </row>
    <row r="14" spans="1:7" x14ac:dyDescent="0.2">
      <c r="A14" s="40" t="s">
        <v>12</v>
      </c>
      <c r="B14" s="41">
        <f>4160*short_ton_to_MT/1000</f>
        <v>3.7818181818181817</v>
      </c>
      <c r="C14" s="41">
        <f>1110*short_ton_to_MT/1000</f>
        <v>1.009090909090909</v>
      </c>
      <c r="D14" s="41"/>
      <c r="E14" s="41"/>
    </row>
    <row r="15" spans="1:7" x14ac:dyDescent="0.2">
      <c r="A15" s="40" t="s">
        <v>13</v>
      </c>
      <c r="B15" s="41">
        <f>35680*short_ton_to_MT/1000</f>
        <v>32.436363636363637</v>
      </c>
      <c r="C15" s="41">
        <f>SUM(C7:C14)</f>
        <v>2.8090909090909086</v>
      </c>
      <c r="D15" s="41">
        <f>5620*short_ton_to_MT/1000</f>
        <v>5.1090909090909093</v>
      </c>
      <c r="E15" s="41">
        <f>26970*short_ton_to_MT/1000</f>
        <v>24.518181818181816</v>
      </c>
    </row>
    <row r="16" spans="1:7" x14ac:dyDescent="0.2">
      <c r="A16" s="25"/>
    </row>
    <row r="17" spans="1:13" x14ac:dyDescent="0.2">
      <c r="A17" s="85"/>
      <c r="B17" s="39" t="s">
        <v>332</v>
      </c>
    </row>
    <row r="18" spans="1:13" x14ac:dyDescent="0.2">
      <c r="A18" s="39" t="s">
        <v>331</v>
      </c>
      <c r="B18" s="97">
        <v>0.38500000000000001</v>
      </c>
    </row>
    <row r="19" spans="1:13" x14ac:dyDescent="0.2">
      <c r="A19" s="43" t="s">
        <v>111</v>
      </c>
    </row>
    <row r="21" spans="1:13" x14ac:dyDescent="0.2">
      <c r="A21" s="2" t="s">
        <v>137</v>
      </c>
    </row>
    <row r="22" spans="1:13" x14ac:dyDescent="0.2">
      <c r="A22" s="43" t="s">
        <v>138</v>
      </c>
    </row>
    <row r="23" spans="1:13" x14ac:dyDescent="0.2">
      <c r="A23" s="38"/>
      <c r="B23" s="185" t="s">
        <v>109</v>
      </c>
      <c r="C23" s="185"/>
      <c r="D23" s="185"/>
      <c r="E23" s="185"/>
      <c r="F23" s="185"/>
      <c r="G23" s="185"/>
      <c r="H23" s="185"/>
      <c r="I23" s="185"/>
      <c r="J23" s="185"/>
      <c r="K23" s="185"/>
      <c r="L23" s="185"/>
    </row>
    <row r="24" spans="1:13" ht="51" x14ac:dyDescent="0.2">
      <c r="A24" s="48" t="s">
        <v>76</v>
      </c>
      <c r="B24" s="48" t="s">
        <v>24</v>
      </c>
      <c r="C24" s="48" t="s">
        <v>190</v>
      </c>
      <c r="D24" s="48" t="s">
        <v>188</v>
      </c>
      <c r="E24" s="48" t="s">
        <v>189</v>
      </c>
      <c r="F24" s="48" t="s">
        <v>191</v>
      </c>
      <c r="G24" s="48" t="s">
        <v>360</v>
      </c>
      <c r="H24" s="48" t="s">
        <v>361</v>
      </c>
      <c r="I24" s="48" t="s">
        <v>192</v>
      </c>
      <c r="J24" s="48" t="s">
        <v>151</v>
      </c>
      <c r="K24" s="48" t="s">
        <v>6</v>
      </c>
      <c r="L24" s="48" t="s">
        <v>193</v>
      </c>
      <c r="M24" s="29"/>
    </row>
    <row r="25" spans="1:13" x14ac:dyDescent="0.2">
      <c r="A25" s="40" t="s">
        <v>142</v>
      </c>
      <c r="B25" s="40">
        <f>'Di et al. SD'!D7*10^-3</f>
        <v>9.8079999999999998</v>
      </c>
      <c r="C25" s="47">
        <f>IF(('Di et al. SD'!D14)*10^-3&lt;0,ABS('Di et al. SD'!D14)*10^-3,0)</f>
        <v>1.2330000000000001</v>
      </c>
      <c r="D25" s="40">
        <f>IF('Di et al. SD'!D28*10^-3&lt;0,0,'Di et al. SD'!D28*10^-3)</f>
        <v>1.4319999999999999</v>
      </c>
      <c r="E25" s="40">
        <f>SUMIF('Di et al. SD'!$C$70:$C$132,EndOfLife!$A25,'Di et al. SD'!$D$70:$D$132)*10^-3</f>
        <v>7.4039999999999999</v>
      </c>
      <c r="F25" s="42">
        <f>SUMIF('Di et al. SD'!$C$343:$C$363,EndOfLife!$A25,'Di et al. SD'!$D$343:$D$363)*10^-3+(SUM('Di et al. SD'!$D$347:$D$348)*SUM('Di et al. SD'!$D$343:$D$344)/SUM('Di et al. SD'!$D$343:$D$346))*10^-3</f>
        <v>0.58287487586891762</v>
      </c>
      <c r="G25" s="42">
        <f>SUMIF('Di et al. SD'!$C$370:$C$375,EndOfLife!$A25,'Di et al. SD'!$D$370:$D$375)*10^-3+(SUM('Di et al. SD'!$D$370)*SUM('Di et al. SD'!$D$343:$D$344)/SUM('Di et al. SD'!$D$343:$D$346))*10^-3</f>
        <v>0.39285501489572988</v>
      </c>
      <c r="H25" s="42">
        <f>SUMIF('Di et al. SD'!$C$364:$C$369,EndOfLife!$A25,'Di et al. SD'!$D$364:$D$369)*10^-3+(SUM('Di et al. SD'!$D$364)*SUM('Di et al. SD'!$D$343:$D$344)/SUM('Di et al. SD'!$D$343:$D$346))*10^-3</f>
        <v>0.19001986097318768</v>
      </c>
      <c r="I25" s="42">
        <f>SUMIF('Di et al. SD'!$C$382:$C$387,EndOfLife!$A25,'Di et al. SD'!$D$382:$D$387)*10^-3+(SUM('Di et al. SD'!$D$382)*SUM('Di et al. SD'!$D$343:$D$344)/SUM('Di et al. SD'!$D$343:$D$346))*10^-3</f>
        <v>0.37871400198609734</v>
      </c>
      <c r="J25" s="42">
        <f>SUMIF('Di et al. SD'!$C$301:$C$321,EndOfLife!$A25,'Di et al. SD'!$D$301:$D$321)*10^-3+(SUM('Di et al. SD'!$D$305:$D$306)*SUM('Di et al. SD'!$D$301:$D$302)/SUM('Di et al. SD'!$D$301:$D$304))*10^-3</f>
        <v>1.3018642048838593</v>
      </c>
      <c r="K25" s="42">
        <f>SUMIF('Di et al. SD'!$C$322:$C$342,EndOfLife!$A25,'Di et al. SD'!$D$322:$D$342)*10^-3+(SUM('Di et al. SD'!$D$326:$D$327)*SUM('Di et al. SD'!$D$322:$D$323)/SUM('Di et al. SD'!$D$322:$D$325))*10^-3</f>
        <v>6.2507274840209179</v>
      </c>
      <c r="L25" s="42">
        <f>IF((SUMIF('Di et al. SD'!$C$376:$C$381,EndOfLife!$A25,'Di et al. SD'!$D$376:$D$381)*10^-3+(SUM('Di et al. SD'!$D$376)*SUM('Di et al. SD'!$D$343:$D$344)/SUM('Di et al. SD'!$D$343:$D$346))*10^-3)&lt;0,0,(SUMIF('Di et al. SD'!$C$376:$C$381,EndOfLife!$A25,'Di et al. SD'!$D$376:$D$381)*10^-3+(SUM('Di et al. SD'!$D$376)*SUM('Di et al. SD'!$D$343:$D$344)/SUM('Di et al. SD'!$D$343:$D$346))*10^-3))</f>
        <v>1.4141012909632572E-2</v>
      </c>
    </row>
    <row r="26" spans="1:13" x14ac:dyDescent="0.2">
      <c r="A26" s="40" t="s">
        <v>1</v>
      </c>
      <c r="B26" s="40">
        <f>'Di et al. SD'!D8*10^-3</f>
        <v>8.5590000000000011</v>
      </c>
      <c r="C26" s="47">
        <f>IF(('Di et al. SD'!D15)*10^-3&lt;0,ABS('Di et al. SD'!D15)*10^-3,0)</f>
        <v>0.91600000000000004</v>
      </c>
      <c r="D26" s="40">
        <f>IF('Di et al. SD'!D29*10^-3&lt;0,0,'Di et al. SD'!D29*10^-3)</f>
        <v>1.6180000000000001</v>
      </c>
      <c r="E26" s="40">
        <f>SUMIF('Di et al. SD'!$C$70:$C$132,EndOfLife!$A26,'Di et al. SD'!$D$70:$D$132)*10^-3</f>
        <v>6.6180000000000003</v>
      </c>
      <c r="F26" s="42">
        <f>SUMIF('Di et al. SD'!$C$343:$C$363,EndOfLife!$A26,'Di et al. SD'!$D$343:$D$363)*10^-3+(SUM('Di et al. SD'!$D$347:$D$348)*SUM('Di et al. SD'!$D$345:$D$346)/SUM('Di et al. SD'!$D$343:$D$346))*10^-3</f>
        <v>0.73612512413108244</v>
      </c>
      <c r="G26" s="42">
        <f>SUMIF('Di et al. SD'!$C$370:$C$375,EndOfLife!$A26,'Di et al. SD'!$D$370:$D$375)*10^-3+(SUM('Di et al. SD'!$D$370)*SUM('Di et al. SD'!$D$345:$D$346)/SUM('Di et al. SD'!$D$343:$D$346))*10^-3</f>
        <v>0.49614498510427013</v>
      </c>
      <c r="H26" s="42">
        <f>SUMIF('Di et al. SD'!$C$364:$C$369,EndOfLife!$A26,'Di et al. SD'!$D$364:$D$369)*10^-3+(SUM('Di et al. SD'!$D$364)*SUM('Di et al. SD'!$D$345:$D$346)/SUM('Di et al. SD'!$D$343:$D$346))*10^-3</f>
        <v>0.23998013902681231</v>
      </c>
      <c r="I26" s="42">
        <f>SUMIF('Di et al. SD'!$C$382:$C$387,EndOfLife!$A26,'Di et al. SD'!$D$382:$D$387)*10^-3+(SUM('Di et al. SD'!$D$382)*SUM('Di et al. SD'!$D$345:$D$346)/SUM('Di et al. SD'!$D$343:$D$346))*10^-3</f>
        <v>0.47828599801390265</v>
      </c>
      <c r="J26" s="42">
        <f>SUMIF('Di et al. SD'!$C$301:$C$321,EndOfLife!$A26,'Di et al. SD'!$D$301:$D$321)*10^-3+(SUM('Di et al. SD'!$D$305:$D$306)*SUM('Di et al. SD'!$D$303:$D$304)/SUM('Di et al. SD'!$D$301:$D$304))*10^-3</f>
        <v>0.93313579511614064</v>
      </c>
      <c r="K26" s="42">
        <f>SUMIF('Di et al. SD'!$C$322:$C$342,EndOfLife!$A26,'Di et al. SD'!$D$322:$D$342)*10^-3+(SUM('Di et al. SD'!$D$326:$D$327)*SUM('Di et al. SD'!$D$324:$D$325)/SUM('Di et al. SD'!$D$322:$D$325))*10^-3</f>
        <v>4.4772725159790818</v>
      </c>
      <c r="L26" s="42">
        <f>IF((SUMIF('Di et al. SD'!$C$376:$C$381,EndOfLife!$A26,'Di et al. SD'!$D$376:$D$381)*10^-3+(SUM('Di et al. SD'!$D$376)*SUM('Di et al. SD'!$D$343:$D$344)/SUM('Di et al. SD'!$D$343:$D$346))*10^-3)&lt;0,0,(SUMIF('Di et al. SD'!$C$376:$C$381,EndOfLife!$A26,'Di et al. SD'!$D$376:$D$381)*10^-3+(SUM('Di et al. SD'!$D$376)*SUM('Di et al. SD'!$D$343:$D$344)/SUM('Di et al. SD'!$D$343:$D$346))*10^-3))</f>
        <v>1.4141012909632572E-2</v>
      </c>
    </row>
    <row r="27" spans="1:13" x14ac:dyDescent="0.2">
      <c r="A27" s="40" t="s">
        <v>10</v>
      </c>
      <c r="B27" s="40">
        <f>'Di et al. SD'!D9*10^-3</f>
        <v>7.78</v>
      </c>
      <c r="C27" s="47">
        <f>IF(('Di et al. SD'!D16)*10^-3&lt;0,ABS('Di et al. SD'!D16)*10^-3,0)</f>
        <v>0.79800000000000004</v>
      </c>
      <c r="D27" s="40">
        <f>IF('Di et al. SD'!D30*10^-3&lt;0,0,'Di et al. SD'!D30*10^-3)</f>
        <v>0</v>
      </c>
      <c r="E27" s="40">
        <f>SUMIF('Di et al. SD'!$C$70:$C$132,EndOfLife!$A27,'Di et al. SD'!$D$70:$D$132)*10^-3</f>
        <v>7.6280000000000001</v>
      </c>
      <c r="F27" s="40">
        <f>SUMIF('Di et al. SD'!$C$343:$C$363,EndOfLife!$A27,'Di et al. SD'!$D$343:$D$363)*10^-3</f>
        <v>6.4000000000000001E-2</v>
      </c>
      <c r="G27" s="42">
        <f>SUMIF('Di et al. SD'!$C$370:$C$375,EndOfLife!$A27,'Di et al. SD'!$D$370:$D$375)*10^-3</f>
        <v>0</v>
      </c>
      <c r="H27" s="42">
        <f>SUMIF('Di et al. SD'!$C$364:$C$369,EndOfLife!$A27,'Di et al. SD'!$D$364:$D$369)*10^-3</f>
        <v>6.4000000000000001E-2</v>
      </c>
      <c r="I27" s="42">
        <f>SUMIF('Di et al. SD'!$C$382:$C$387,EndOfLife!$A27,'Di et al. SD'!$D$382:$D$387)*10^-3</f>
        <v>5.5E-2</v>
      </c>
      <c r="J27" s="40">
        <f>SUMIF('Di et al. SD'!$C$301:$C$321,EndOfLife!$A27,'Di et al. SD'!$D$301:$D$321)*10^-3</f>
        <v>1.0980000000000001</v>
      </c>
      <c r="K27" s="42">
        <f>SUMIF('Di et al. SD'!$C$322:$C$342,EndOfLife!$A27,'Di et al. SD'!$D$322:$D$342)*10^-3</f>
        <v>6.6480000000000006</v>
      </c>
      <c r="L27" s="42">
        <f>IF((SUMIF('Di et al. SD'!$C$376:$C$381,EndOfLife!$A27,'Di et al. SD'!$D$376:$D$381)*10^-3)&lt;0,0,(SUMIF('Di et al. SD'!$C$376:$C$381,EndOfLife!$A27,'Di et al. SD'!$D$376:$D$381)*10^-3))</f>
        <v>0</v>
      </c>
    </row>
    <row r="28" spans="1:13" x14ac:dyDescent="0.2">
      <c r="A28" s="40" t="s">
        <v>11</v>
      </c>
      <c r="B28" s="40">
        <f>'Di et al. SD'!D10*10^-3</f>
        <v>1.9990000000000001</v>
      </c>
      <c r="C28" s="47">
        <f>IF(('Di et al. SD'!D17)*10^-3&lt;0,ABS('Di et al. SD'!D17)*10^-3,0)</f>
        <v>0</v>
      </c>
      <c r="D28" s="40">
        <f>IF('Di et al. SD'!D31*10^-3&lt;0,0,'Di et al. SD'!D31*10^-3)</f>
        <v>0</v>
      </c>
      <c r="E28" s="40">
        <f>SUMIF('Di et al. SD'!$C$70:$C$132,EndOfLife!$A28,'Di et al. SD'!$D$70:$D$132)*10^-3</f>
        <v>2.331</v>
      </c>
      <c r="F28" s="40">
        <f>SUMIF('Di et al. SD'!$C$343:$C$363,EndOfLife!$A28,'Di et al. SD'!$D$343:$D$363)*10^-3</f>
        <v>2.7E-2</v>
      </c>
      <c r="G28" s="42">
        <f>F28-H28</f>
        <v>2.3E-2</v>
      </c>
      <c r="H28" s="42">
        <f>SUMIF('Di et al. SD'!$C$364:$C$369,EndOfLife!$A28,'Di et al. SD'!$D$364:$D$369)*10^-3</f>
        <v>4.0000000000000001E-3</v>
      </c>
      <c r="I28" s="42">
        <f>SUMIF('Di et al. SD'!$C$382:$C$387,EndOfLife!$A28,'Di et al. SD'!$D$382:$D$387)*10^-3</f>
        <v>3.9E-2</v>
      </c>
      <c r="J28" s="40">
        <f>SUMIF('Di et al. SD'!$C$301:$C$321,EndOfLife!$A28,'Di et al. SD'!$D$301:$D$321)*10^-3</f>
        <v>0.36799999999999999</v>
      </c>
      <c r="K28" s="42">
        <f>SUMIF('Di et al. SD'!$C$322:$C$342,EndOfLife!$A28,'Di et al. SD'!$D$322:$D$342)*10^-3</f>
        <v>1.7530000000000001</v>
      </c>
      <c r="L28" s="42">
        <f>IF((SUMIF('Di et al. SD'!$C$376:$C$381,EndOfLife!$A28,'Di et al. SD'!$D$376:$D$381)*10^-3)&lt;0,0,(SUMIF('Di et al. SD'!$C$376:$C$381,EndOfLife!$A28,'Di et al. SD'!$D$376:$D$381)*10^-3))</f>
        <v>0</v>
      </c>
    </row>
    <row r="29" spans="1:13" x14ac:dyDescent="0.2">
      <c r="A29" s="40" t="s">
        <v>2</v>
      </c>
      <c r="B29" s="40">
        <f>'Di et al. SD'!D11*10^-3</f>
        <v>4.3639999999999999</v>
      </c>
      <c r="C29" s="47">
        <f>IF(('Di et al. SD'!D18)*10^-3&lt;0,ABS('Di et al. SD'!D18)*10^-3,0)</f>
        <v>0.624</v>
      </c>
      <c r="D29" s="40">
        <f>IF('Di et al. SD'!D32*10^-3&lt;0,0,'Di et al. SD'!D32*10^-3)</f>
        <v>0</v>
      </c>
      <c r="E29" s="40">
        <f>SUMIF('Di et al. SD'!$C$70:$C$132,EndOfLife!$A29,'Di et al. SD'!$D$70:$D$132)*10^-3</f>
        <v>5.2620000000000005</v>
      </c>
      <c r="F29" s="40">
        <f>SUMIF('Di et al. SD'!$C$343:$C$363,EndOfLife!$A29,'Di et al. SD'!$D$343:$D$363)*10^-3</f>
        <v>0.85299999999999998</v>
      </c>
      <c r="G29" s="42">
        <f>SUMIF('Di et al. SD'!$C$370:$C$375,EndOfLife!$A29,'Di et al. SD'!$D$370:$D$375)*10^-3</f>
        <v>0.63600000000000001</v>
      </c>
      <c r="H29" s="42">
        <f>SUMIF('Di et al. SD'!$C$364:$C$369,EndOfLife!$A29,'Di et al. SD'!$D$364:$D$369)*10^-3</f>
        <v>0.216</v>
      </c>
      <c r="I29" s="42">
        <f>SUMIF('Di et al. SD'!$C$382:$C$387,EndOfLife!$A29,'Di et al. SD'!$D$382:$D$387)*10^-3</f>
        <v>0.48499999999999999</v>
      </c>
      <c r="J29" s="40">
        <f>SUMIF('Di et al. SD'!$C$301:$C$321,EndOfLife!$A29,'Di et al. SD'!$D$301:$D$321)*10^-3</f>
        <v>0.71</v>
      </c>
      <c r="K29" s="42">
        <f>SUMIF('Di et al. SD'!$C$322:$C$342,EndOfLife!$A29,'Di et al. SD'!$D$322:$D$342)*10^-3</f>
        <v>3.0649999999999999</v>
      </c>
      <c r="L29" s="42">
        <f>IF((SUMIF('Di et al. SD'!$C$376:$C$381,EndOfLife!$A29,'Di et al. SD'!$D$376:$D$381)*10^-3)&lt;0,0,(SUMIF('Di et al. SD'!$C$376:$C$381,EndOfLife!$A29,'Di et al. SD'!$D$376:$D$381)*10^-3))</f>
        <v>0.151</v>
      </c>
    </row>
    <row r="30" spans="1:13" x14ac:dyDescent="0.2">
      <c r="A30" s="40" t="s">
        <v>7</v>
      </c>
      <c r="B30" s="40">
        <f>'Di et al. SD'!D12*10^-3</f>
        <v>6.67</v>
      </c>
      <c r="C30" s="47">
        <f>IF(('Di et al. SD'!D19)*10^-3&lt;0,ABS('Di et al. SD'!D19)*10^-3,0)</f>
        <v>2.5420000000000003</v>
      </c>
      <c r="D30" s="40">
        <f>IF('Di et al. SD'!D33*10^-3&lt;0,0,'Di et al. SD'!D33*10^-3)</f>
        <v>0</v>
      </c>
      <c r="E30" s="40">
        <f>SUMIF('Di et al. SD'!$C$70:$C$132,EndOfLife!$A30,'Di et al. SD'!$D$70:$D$132)*10^-3</f>
        <v>4.5570000000000004</v>
      </c>
      <c r="F30" s="40">
        <f>SUMIF('Di et al. SD'!$C$343:$C$363,EndOfLife!$A30,'Di et al. SD'!$D$343:$D$363)*10^-3</f>
        <v>3.0000000000000001E-3</v>
      </c>
      <c r="G30" s="42">
        <f>SUMIF('Di et al. SD'!$C$370:$C$375,EndOfLife!$A30,'Di et al. SD'!$D$370:$D$375)*10^-3</f>
        <v>1E-3</v>
      </c>
      <c r="H30" s="42">
        <f>SUMIF('Di et al. SD'!$C$364:$C$369,EndOfLife!$A30,'Di et al. SD'!$D$364:$D$369)*10^-3</f>
        <v>2E-3</v>
      </c>
      <c r="I30" s="42">
        <f>SUMIF('Di et al. SD'!$C$382:$C$387,EndOfLife!$A30,'Di et al. SD'!$D$382:$D$387)*10^-3</f>
        <v>0</v>
      </c>
      <c r="J30" s="40">
        <f>SUMIF('Di et al. SD'!$C$301:$C$321,EndOfLife!$A30,'Di et al. SD'!$D$301:$D$321)*10^-3</f>
        <v>0.14699999999999999</v>
      </c>
      <c r="K30" s="42">
        <f>SUMIF('Di et al. SD'!$C$322:$C$342,EndOfLife!$A30,'Di et al. SD'!$D$322:$D$342)*10^-3</f>
        <v>0.80300000000000005</v>
      </c>
      <c r="L30" s="42">
        <f>IF((SUMIF('Di et al. SD'!$C$376:$C$381,EndOfLife!$A30,'Di et al. SD'!$D$376:$D$381)*10^-3)&lt;0,0,(SUMIF('Di et al. SD'!$C$376:$C$381,EndOfLife!$A30,'Di et al. SD'!$D$376:$D$381)*10^-3))</f>
        <v>1E-3</v>
      </c>
    </row>
    <row r="31" spans="1:13" x14ac:dyDescent="0.2">
      <c r="A31" s="40" t="s">
        <v>139</v>
      </c>
      <c r="B31" s="40">
        <f>'Di et al. SD'!D13*10^-3</f>
        <v>3.589</v>
      </c>
      <c r="C31" s="47">
        <f>IF(('Di et al. SD'!D20)*10^-3&lt;0,ABS('Di et al. SD'!D20)*10^-3,0)</f>
        <v>3.073</v>
      </c>
      <c r="D31" s="40">
        <f>IF('Di et al. SD'!D34*10^-3&lt;0,0,'Di et al. SD'!D34*10^-3)</f>
        <v>0.51600000000000001</v>
      </c>
      <c r="E31" s="40">
        <f>SUMIF('Di et al. SD'!$C$70:$C$132,EndOfLife!$A31,'Di et al. SD'!$D$70:$D$132)*10^-3</f>
        <v>0.86399999999999999</v>
      </c>
      <c r="F31" s="40">
        <f>SUMIF('Di et al. SD'!$C$343:$C$363,EndOfLife!$A31,'Di et al. SD'!$D$343:$D$363)*10^-3</f>
        <v>0.89800000000000002</v>
      </c>
      <c r="G31" s="42">
        <f>SUMIF('Di et al. SD'!$C$370:$C$375,EndOfLife!$A31,'Di et al. SD'!$D$370:$D$375)*10^-3</f>
        <v>0.88100000000000001</v>
      </c>
      <c r="H31" s="42">
        <f>SUMIF('Di et al. SD'!$C$364:$C$369,EndOfLife!$A31,'Di et al. SD'!$D$364:$D$369)*10^-3</f>
        <v>1.7000000000000001E-2</v>
      </c>
      <c r="I31" s="42">
        <f>SUMIF('Di et al. SD'!$C$382:$C$387,EndOfLife!$A31,'Di et al. SD'!$D$382:$D$387)*10^-3</f>
        <v>0</v>
      </c>
      <c r="J31" s="40">
        <f>SUMIF('Di et al. SD'!$C$301:$C$321,EndOfLife!$A31,'Di et al. SD'!$D$301:$D$321)*10^-3</f>
        <v>0.45500000000000002</v>
      </c>
      <c r="K31" s="42">
        <f>SUMIF('Di et al. SD'!$C$322:$C$342,EndOfLife!$A31,'Di et al. SD'!$D$322:$D$342)*10^-3</f>
        <v>4.0640000000000001</v>
      </c>
      <c r="L31" s="42">
        <f>IF((SUMIF('Di et al. SD'!$C$376:$C$381,EndOfLife!$A31,'Di et al. SD'!$D$376:$D$381)*10^-3)&lt;0,0,(SUMIF('Di et al. SD'!$C$376:$C$381,EndOfLife!$A31,'Di et al. SD'!$D$376:$D$381)*10^-3))</f>
        <v>0.88100000000000001</v>
      </c>
    </row>
    <row r="32" spans="1:13" x14ac:dyDescent="0.2">
      <c r="A32" s="40" t="s">
        <v>13</v>
      </c>
      <c r="B32" s="41">
        <f>SUM(B25:B31)</f>
        <v>42.768999999999998</v>
      </c>
      <c r="C32" s="41">
        <f>SUM(C25:C31)</f>
        <v>9.1859999999999999</v>
      </c>
      <c r="D32" s="41">
        <f>SUM(D25:D31)</f>
        <v>3.5659999999999998</v>
      </c>
      <c r="E32" s="41">
        <f>SUM(E25:E31)</f>
        <v>34.663999999999994</v>
      </c>
      <c r="F32" s="41">
        <f>SUM(F24:F31)</f>
        <v>3.1640000000000001</v>
      </c>
      <c r="G32" s="41">
        <f>SUM(G24:G31)</f>
        <v>2.4299999999999997</v>
      </c>
      <c r="H32" s="41">
        <f>SUM(H24:H31)</f>
        <v>0.73299999999999998</v>
      </c>
      <c r="I32" s="41">
        <f t="shared" ref="I32:L32" si="0">SUM(I24:I31)</f>
        <v>1.4359999999999999</v>
      </c>
      <c r="J32" s="41">
        <f t="shared" si="0"/>
        <v>5.0129999999999999</v>
      </c>
      <c r="K32" s="41">
        <f t="shared" si="0"/>
        <v>27.061000000000003</v>
      </c>
      <c r="L32" s="41">
        <f t="shared" si="0"/>
        <v>1.0612820258192652</v>
      </c>
    </row>
    <row r="34" spans="1:12" x14ac:dyDescent="0.2">
      <c r="A34" s="2" t="s">
        <v>196</v>
      </c>
    </row>
    <row r="35" spans="1:12" x14ac:dyDescent="0.2">
      <c r="A35" s="20" t="s">
        <v>200</v>
      </c>
      <c r="H35" s="20" t="s">
        <v>201</v>
      </c>
    </row>
    <row r="36" spans="1:12" ht="51" x14ac:dyDescent="0.2">
      <c r="A36" s="48" t="s">
        <v>76</v>
      </c>
      <c r="B36" s="48" t="s">
        <v>198</v>
      </c>
      <c r="C36" s="48" t="s">
        <v>191</v>
      </c>
      <c r="D36" s="48" t="s">
        <v>151</v>
      </c>
      <c r="E36" s="48" t="s">
        <v>6</v>
      </c>
      <c r="F36" s="52" t="s">
        <v>199</v>
      </c>
      <c r="G36" s="49"/>
      <c r="H36" s="54" t="s">
        <v>76</v>
      </c>
      <c r="I36" s="48" t="s">
        <v>360</v>
      </c>
      <c r="J36" s="48" t="s">
        <v>361</v>
      </c>
      <c r="K36" s="48" t="s">
        <v>193</v>
      </c>
      <c r="L36" s="48" t="s">
        <v>199</v>
      </c>
    </row>
    <row r="37" spans="1:12" x14ac:dyDescent="0.2">
      <c r="A37" s="40" t="s">
        <v>142</v>
      </c>
      <c r="B37" s="42">
        <f>SUM(F25,J25,K25)</f>
        <v>8.1354665647736955</v>
      </c>
      <c r="C37" s="50">
        <f>F25/$B37</f>
        <v>7.1646152218576717E-2</v>
      </c>
      <c r="D37" s="50">
        <f>J25/$B37</f>
        <v>0.16002329977249108</v>
      </c>
      <c r="E37" s="50">
        <f>K25/$B37</f>
        <v>0.76833054800893208</v>
      </c>
      <c r="F37" s="53">
        <f>SUM(C37:E37)</f>
        <v>0.99999999999999989</v>
      </c>
      <c r="G37" s="56"/>
      <c r="H37" s="55" t="s">
        <v>142</v>
      </c>
      <c r="I37" s="50">
        <f>(G25-L25)/F25</f>
        <v>0.64973464746019705</v>
      </c>
      <c r="J37" s="50">
        <f>H25/$F25</f>
        <v>0.32600454890068231</v>
      </c>
      <c r="K37" s="50">
        <f>L25/F25</f>
        <v>2.4260803639120546E-2</v>
      </c>
      <c r="L37" s="50">
        <f>SUM(I37:K37)</f>
        <v>0.99999999999999989</v>
      </c>
    </row>
    <row r="38" spans="1:12" x14ac:dyDescent="0.2">
      <c r="A38" s="40" t="s">
        <v>1</v>
      </c>
      <c r="B38" s="42">
        <f t="shared" ref="B38:B42" si="1">SUM(F26,J26,K26)</f>
        <v>6.1465334352263046</v>
      </c>
      <c r="C38" s="50">
        <f>F26/$B38</f>
        <v>0.11976264863578011</v>
      </c>
      <c r="D38" s="50">
        <f t="shared" ref="D38:D42" si="2">J26/$B38</f>
        <v>0.15181497098319846</v>
      </c>
      <c r="E38" s="50">
        <f t="shared" ref="E38:E42" si="3">K26/$B38</f>
        <v>0.72842238038102147</v>
      </c>
      <c r="F38" s="53">
        <f t="shared" ref="F38:F44" si="4">SUM(C38:E38)</f>
        <v>1</v>
      </c>
      <c r="G38" s="56"/>
      <c r="H38" s="55" t="s">
        <v>1</v>
      </c>
      <c r="I38" s="50">
        <f t="shared" ref="I38:I44" si="5">(G26-L26)/F26</f>
        <v>0.65478538416086807</v>
      </c>
      <c r="J38" s="50">
        <f t="shared" ref="J38:J40" si="6">H26/$F26</f>
        <v>0.32600454890068231</v>
      </c>
      <c r="K38" s="50">
        <f t="shared" ref="K38:K44" si="7">L26/F26</f>
        <v>1.9210066938449542E-2</v>
      </c>
      <c r="L38" s="50">
        <f t="shared" ref="L38:L44" si="8">SUM(I38:K38)</f>
        <v>0.99999999999999989</v>
      </c>
    </row>
    <row r="39" spans="1:12" x14ac:dyDescent="0.2">
      <c r="A39" s="40" t="s">
        <v>10</v>
      </c>
      <c r="B39" s="42">
        <f t="shared" si="1"/>
        <v>7.8100000000000005</v>
      </c>
      <c r="C39" s="50">
        <f t="shared" ref="C39:C42" si="9">F27/$B39</f>
        <v>8.1946222791293207E-3</v>
      </c>
      <c r="D39" s="50">
        <f t="shared" si="2"/>
        <v>0.14058898847631243</v>
      </c>
      <c r="E39" s="50">
        <f t="shared" si="3"/>
        <v>0.85121638924455822</v>
      </c>
      <c r="F39" s="53">
        <f t="shared" si="4"/>
        <v>1</v>
      </c>
      <c r="G39" s="56"/>
      <c r="H39" s="55" t="s">
        <v>10</v>
      </c>
      <c r="I39" s="50">
        <f t="shared" si="5"/>
        <v>0</v>
      </c>
      <c r="J39" s="50">
        <f t="shared" si="6"/>
        <v>1</v>
      </c>
      <c r="K39" s="50">
        <f t="shared" si="7"/>
        <v>0</v>
      </c>
      <c r="L39" s="50">
        <f t="shared" si="8"/>
        <v>1</v>
      </c>
    </row>
    <row r="40" spans="1:12" x14ac:dyDescent="0.2">
      <c r="A40" s="40" t="s">
        <v>11</v>
      </c>
      <c r="B40" s="42">
        <f t="shared" si="1"/>
        <v>2.1480000000000001</v>
      </c>
      <c r="C40" s="50">
        <f t="shared" si="9"/>
        <v>1.2569832402234636E-2</v>
      </c>
      <c r="D40" s="50">
        <f t="shared" si="2"/>
        <v>0.17132216014897578</v>
      </c>
      <c r="E40" s="50">
        <f t="shared" si="3"/>
        <v>0.81610800744878953</v>
      </c>
      <c r="F40" s="53">
        <f t="shared" si="4"/>
        <v>1</v>
      </c>
      <c r="G40" s="56"/>
      <c r="H40" s="55" t="s">
        <v>11</v>
      </c>
      <c r="I40" s="50">
        <f t="shared" si="5"/>
        <v>0.85185185185185186</v>
      </c>
      <c r="J40" s="50">
        <f t="shared" si="6"/>
        <v>0.14814814814814814</v>
      </c>
      <c r="K40" s="50">
        <f t="shared" si="7"/>
        <v>0</v>
      </c>
      <c r="L40" s="50">
        <f t="shared" si="8"/>
        <v>1</v>
      </c>
    </row>
    <row r="41" spans="1:12" x14ac:dyDescent="0.2">
      <c r="A41" s="40" t="s">
        <v>2</v>
      </c>
      <c r="B41" s="42">
        <f t="shared" si="1"/>
        <v>4.6280000000000001</v>
      </c>
      <c r="C41" s="50">
        <f>F29/$B41</f>
        <v>0.18431287813310285</v>
      </c>
      <c r="D41" s="50">
        <f t="shared" si="2"/>
        <v>0.15341400172860845</v>
      </c>
      <c r="E41" s="50">
        <f t="shared" si="3"/>
        <v>0.66227312013828865</v>
      </c>
      <c r="F41" s="53">
        <f t="shared" si="4"/>
        <v>1</v>
      </c>
      <c r="G41" s="56"/>
      <c r="H41" s="55" t="s">
        <v>2</v>
      </c>
      <c r="I41" s="50">
        <f t="shared" si="5"/>
        <v>0.56858147713950757</v>
      </c>
      <c r="J41" s="50">
        <f>1-SUM(I41,K41)</f>
        <v>0.25439624853458387</v>
      </c>
      <c r="K41" s="50">
        <f t="shared" si="7"/>
        <v>0.17702227432590856</v>
      </c>
      <c r="L41" s="50">
        <f t="shared" si="8"/>
        <v>1</v>
      </c>
    </row>
    <row r="42" spans="1:12" x14ac:dyDescent="0.2">
      <c r="A42" s="40" t="s">
        <v>7</v>
      </c>
      <c r="B42" s="42">
        <f t="shared" si="1"/>
        <v>0.95300000000000007</v>
      </c>
      <c r="C42" s="50">
        <f t="shared" si="9"/>
        <v>3.1479538300104928E-3</v>
      </c>
      <c r="D42" s="50">
        <f t="shared" si="2"/>
        <v>0.15424973767051414</v>
      </c>
      <c r="E42" s="50">
        <f t="shared" si="3"/>
        <v>0.84260230849947537</v>
      </c>
      <c r="F42" s="53">
        <f t="shared" si="4"/>
        <v>1</v>
      </c>
      <c r="G42" s="56"/>
      <c r="H42" s="55" t="s">
        <v>7</v>
      </c>
      <c r="I42" s="50">
        <f t="shared" si="5"/>
        <v>0</v>
      </c>
      <c r="J42" s="50">
        <f>1-SUM(I42,K42)</f>
        <v>0.66666666666666674</v>
      </c>
      <c r="K42" s="50">
        <f t="shared" si="7"/>
        <v>0.33333333333333331</v>
      </c>
      <c r="L42" s="50">
        <f t="shared" si="8"/>
        <v>1</v>
      </c>
    </row>
    <row r="43" spans="1:12" x14ac:dyDescent="0.2">
      <c r="A43" s="40" t="s">
        <v>362</v>
      </c>
      <c r="B43" s="42">
        <v>0</v>
      </c>
      <c r="C43" s="50">
        <v>0</v>
      </c>
      <c r="D43" s="50">
        <f>D44</f>
        <v>8.3994831087317715E-2</v>
      </c>
      <c r="E43" s="50">
        <f>1-SUM(C43:D43)</f>
        <v>0.91600516891268224</v>
      </c>
      <c r="F43" s="53">
        <f t="shared" si="4"/>
        <v>1</v>
      </c>
      <c r="G43" s="56"/>
      <c r="H43" s="55" t="s">
        <v>362</v>
      </c>
      <c r="I43" s="50">
        <f t="shared" si="5"/>
        <v>0</v>
      </c>
      <c r="J43" s="50">
        <f>1-SUM(I43,K43)</f>
        <v>1.8930957683741645E-2</v>
      </c>
      <c r="K43" s="50">
        <f t="shared" si="7"/>
        <v>0.98106904231625836</v>
      </c>
      <c r="L43" s="50">
        <f t="shared" si="8"/>
        <v>1</v>
      </c>
    </row>
    <row r="44" spans="1:12" x14ac:dyDescent="0.2">
      <c r="A44" s="40" t="s">
        <v>139</v>
      </c>
      <c r="B44" s="42">
        <f>SUM(F31,J31,K31)</f>
        <v>5.4169999999999998</v>
      </c>
      <c r="C44" s="50">
        <f>F31/$B44</f>
        <v>0.16577441388222264</v>
      </c>
      <c r="D44" s="50">
        <f>J31/$B44</f>
        <v>8.3994831087317715E-2</v>
      </c>
      <c r="E44" s="50">
        <f>K31/$B44</f>
        <v>0.75023075503045966</v>
      </c>
      <c r="F44" s="53">
        <f t="shared" si="4"/>
        <v>1</v>
      </c>
      <c r="G44" s="56"/>
      <c r="H44" s="55" t="s">
        <v>139</v>
      </c>
      <c r="I44" s="50">
        <f t="shared" si="5"/>
        <v>0.43259101585990339</v>
      </c>
      <c r="J44" s="50">
        <f>1-SUM(I44,K44)</f>
        <v>0.23198482932996223</v>
      </c>
      <c r="K44" s="50">
        <f t="shared" si="7"/>
        <v>0.33542415481013438</v>
      </c>
      <c r="L44" s="50">
        <f t="shared" si="8"/>
        <v>1</v>
      </c>
    </row>
    <row r="45" spans="1:12" x14ac:dyDescent="0.2">
      <c r="A45" s="51" t="s">
        <v>13</v>
      </c>
      <c r="B45" s="42">
        <f>SUM(B37:B44)</f>
        <v>35.238</v>
      </c>
    </row>
    <row r="47" spans="1:12" x14ac:dyDescent="0.2">
      <c r="A47" s="2" t="s">
        <v>205</v>
      </c>
    </row>
    <row r="48" spans="1:12" x14ac:dyDescent="0.2">
      <c r="G48" s="185" t="s">
        <v>109</v>
      </c>
      <c r="H48" s="185"/>
      <c r="I48" s="185"/>
    </row>
    <row r="49" spans="1:26" ht="34" x14ac:dyDescent="0.2">
      <c r="A49" s="48" t="s">
        <v>76</v>
      </c>
      <c r="B49" s="48" t="s">
        <v>202</v>
      </c>
      <c r="C49" s="48" t="s">
        <v>191</v>
      </c>
      <c r="D49" s="48" t="s">
        <v>151</v>
      </c>
      <c r="E49" s="48" t="s">
        <v>6</v>
      </c>
      <c r="F49" s="48" t="s">
        <v>199</v>
      </c>
      <c r="G49" s="48" t="s">
        <v>191</v>
      </c>
      <c r="H49" s="39" t="s">
        <v>5</v>
      </c>
      <c r="I49" s="48" t="s">
        <v>6</v>
      </c>
    </row>
    <row r="50" spans="1:26" x14ac:dyDescent="0.2">
      <c r="A50" s="40" t="s">
        <v>0</v>
      </c>
      <c r="B50" s="40" t="str">
        <f>$A$44</f>
        <v>Other_Plastics</v>
      </c>
      <c r="C50" s="50">
        <f t="shared" ref="C50:C58" si="10">INDEX($C$37:$E$44,MATCH($B50,$A$37:$A$44,0),MATCH(C$49,$C$36:$E$36,0))</f>
        <v>0.16577441388222264</v>
      </c>
      <c r="D50" s="50">
        <f t="shared" ref="D50:E50" si="11">INDEX($C$37:$E$44,MATCH($B50,$A$37:$A$44,0),MATCH(D$49,$C$36:$E$36,0))</f>
        <v>8.3994831087317715E-2</v>
      </c>
      <c r="E50" s="50">
        <f t="shared" si="11"/>
        <v>0.75023075503045966</v>
      </c>
      <c r="F50" s="50">
        <f>SUM(C50:E50)</f>
        <v>1</v>
      </c>
      <c r="G50" s="59">
        <f t="shared" ref="G50:G58" si="12">C50*$B6</f>
        <v>3.0140802524040479E-3</v>
      </c>
      <c r="H50" s="59">
        <f t="shared" ref="H50:H58" si="13">D50*$B6</f>
        <v>1.5271787470421401E-3</v>
      </c>
      <c r="I50" s="59">
        <f t="shared" ref="I50:I58" si="14">E50*$B6</f>
        <v>1.3640559182371993E-2</v>
      </c>
    </row>
    <row r="51" spans="1:26" x14ac:dyDescent="0.2">
      <c r="A51" s="40" t="s">
        <v>2</v>
      </c>
      <c r="B51" s="40" t="str">
        <f>A51</f>
        <v>PET</v>
      </c>
      <c r="C51" s="50">
        <f t="shared" si="10"/>
        <v>0.18431287813310285</v>
      </c>
      <c r="D51" s="50">
        <f t="shared" ref="D51:E58" si="15">INDEX($C$37:$E$44,MATCH($B51,$A$37:$A$44,0),MATCH(D$49,$C$36:$E$36,0))</f>
        <v>0.15341400172860845</v>
      </c>
      <c r="E51" s="50">
        <f t="shared" si="15"/>
        <v>0.66227312013828865</v>
      </c>
      <c r="F51" s="50">
        <f t="shared" ref="F51:F58" si="16">SUM(C51:E51)</f>
        <v>1</v>
      </c>
      <c r="G51" s="59">
        <f t="shared" si="12"/>
        <v>0.88637738665828547</v>
      </c>
      <c r="H51" s="59">
        <f t="shared" si="13"/>
        <v>0.73778188104030784</v>
      </c>
      <c r="I51" s="59">
        <f t="shared" si="14"/>
        <v>3.184931641392315</v>
      </c>
    </row>
    <row r="52" spans="1:26" x14ac:dyDescent="0.2">
      <c r="A52" s="40" t="s">
        <v>1</v>
      </c>
      <c r="B52" s="40" t="str">
        <f>A52</f>
        <v>HDPE</v>
      </c>
      <c r="C52" s="50">
        <f t="shared" si="10"/>
        <v>0.11976264863578011</v>
      </c>
      <c r="D52" s="50">
        <f t="shared" si="15"/>
        <v>0.15181497098319846</v>
      </c>
      <c r="E52" s="50">
        <f t="shared" si="15"/>
        <v>0.72842238038102147</v>
      </c>
      <c r="F52" s="50">
        <f t="shared" si="16"/>
        <v>1</v>
      </c>
      <c r="G52" s="59">
        <f t="shared" si="12"/>
        <v>0.68591335127764963</v>
      </c>
      <c r="H52" s="59">
        <f t="shared" si="13"/>
        <v>0.8694857429037729</v>
      </c>
      <c r="I52" s="59">
        <f t="shared" si="14"/>
        <v>4.1718736330913044</v>
      </c>
    </row>
    <row r="53" spans="1:26" x14ac:dyDescent="0.2">
      <c r="A53" s="40" t="s">
        <v>7</v>
      </c>
      <c r="B53" s="40" t="str">
        <f>A53</f>
        <v>PVC</v>
      </c>
      <c r="C53" s="50">
        <f t="shared" si="10"/>
        <v>3.1479538300104928E-3</v>
      </c>
      <c r="D53" s="50">
        <f t="shared" si="15"/>
        <v>0.15424973767051414</v>
      </c>
      <c r="E53" s="50">
        <f t="shared" si="15"/>
        <v>0.84260230849947537</v>
      </c>
      <c r="F53" s="50">
        <f t="shared" si="16"/>
        <v>1</v>
      </c>
      <c r="G53" s="59">
        <f t="shared" si="12"/>
        <v>2.4038920156443763E-3</v>
      </c>
      <c r="H53" s="59">
        <f t="shared" si="13"/>
        <v>0.11779070876657444</v>
      </c>
      <c r="I53" s="59">
        <f t="shared" si="14"/>
        <v>0.64344176285414489</v>
      </c>
    </row>
    <row r="54" spans="1:26" x14ac:dyDescent="0.2">
      <c r="A54" s="40" t="s">
        <v>8</v>
      </c>
      <c r="B54" s="40" t="str">
        <f>$A$37</f>
        <v>LDPE/LLDPE</v>
      </c>
      <c r="C54" s="50">
        <f t="shared" si="10"/>
        <v>7.1646152218576717E-2</v>
      </c>
      <c r="D54" s="50">
        <f t="shared" si="15"/>
        <v>0.16002329977249108</v>
      </c>
      <c r="E54" s="50">
        <f t="shared" si="15"/>
        <v>0.76833054800893208</v>
      </c>
      <c r="F54" s="50">
        <f t="shared" si="16"/>
        <v>0.99999999999999989</v>
      </c>
      <c r="G54" s="59">
        <f t="shared" si="12"/>
        <v>0.55949131596143087</v>
      </c>
      <c r="H54" s="59">
        <f t="shared" si="13"/>
        <v>1.2496364954960895</v>
      </c>
      <c r="I54" s="59">
        <f t="shared" si="14"/>
        <v>5.9999630976333878</v>
      </c>
    </row>
    <row r="55" spans="1:26" x14ac:dyDescent="0.2">
      <c r="A55" s="40" t="s">
        <v>9</v>
      </c>
      <c r="B55" s="40" t="str">
        <f>$A$44</f>
        <v>Other_Plastics</v>
      </c>
      <c r="C55" s="50">
        <f t="shared" si="10"/>
        <v>0.16577441388222264</v>
      </c>
      <c r="D55" s="50">
        <f t="shared" si="15"/>
        <v>8.3994831087317715E-2</v>
      </c>
      <c r="E55" s="50">
        <f t="shared" si="15"/>
        <v>0.75023075503045966</v>
      </c>
      <c r="F55" s="50">
        <f t="shared" si="16"/>
        <v>1</v>
      </c>
      <c r="G55" s="59">
        <f t="shared" si="12"/>
        <v>1.3563361135818216E-2</v>
      </c>
      <c r="H55" s="59">
        <f t="shared" si="13"/>
        <v>6.8723043616896315E-3</v>
      </c>
      <c r="I55" s="59">
        <f t="shared" si="14"/>
        <v>6.1382516320673972E-2</v>
      </c>
    </row>
    <row r="56" spans="1:26" x14ac:dyDescent="0.2">
      <c r="A56" s="40" t="s">
        <v>10</v>
      </c>
      <c r="B56" s="40" t="str">
        <f t="shared" ref="B56:B57" si="17">A56</f>
        <v>PP</v>
      </c>
      <c r="C56" s="50">
        <f t="shared" si="10"/>
        <v>8.1946222791293207E-3</v>
      </c>
      <c r="D56" s="50">
        <f t="shared" si="15"/>
        <v>0.14058898847631243</v>
      </c>
      <c r="E56" s="50">
        <f t="shared" si="15"/>
        <v>0.85121638924455822</v>
      </c>
      <c r="F56" s="50">
        <f t="shared" si="16"/>
        <v>1</v>
      </c>
      <c r="G56" s="59">
        <f t="shared" si="12"/>
        <v>6.0714701431730876E-2</v>
      </c>
      <c r="H56" s="59">
        <f t="shared" si="13"/>
        <v>1.0416365964381331</v>
      </c>
      <c r="I56" s="59">
        <f t="shared" si="14"/>
        <v>6.3067396112210448</v>
      </c>
    </row>
    <row r="57" spans="1:26" x14ac:dyDescent="0.2">
      <c r="A57" s="40" t="s">
        <v>11</v>
      </c>
      <c r="B57" s="40" t="str">
        <f t="shared" si="17"/>
        <v>PS</v>
      </c>
      <c r="C57" s="50">
        <f t="shared" si="10"/>
        <v>1.2569832402234636E-2</v>
      </c>
      <c r="D57" s="50">
        <f t="shared" si="15"/>
        <v>0.17132216014897578</v>
      </c>
      <c r="E57" s="50">
        <f t="shared" si="15"/>
        <v>0.81610800744878953</v>
      </c>
      <c r="F57" s="50">
        <f t="shared" si="16"/>
        <v>1</v>
      </c>
      <c r="G57" s="59">
        <f t="shared" si="12"/>
        <v>2.5825292026409343E-2</v>
      </c>
      <c r="H57" s="59">
        <f t="shared" si="13"/>
        <v>0.3519891653969866</v>
      </c>
      <c r="I57" s="59">
        <f t="shared" si="14"/>
        <v>1.6767309971220585</v>
      </c>
    </row>
    <row r="58" spans="1:26" x14ac:dyDescent="0.2">
      <c r="A58" s="40" t="s">
        <v>12</v>
      </c>
      <c r="B58" s="40" t="str">
        <f t="shared" ref="B58" si="18">$A$44</f>
        <v>Other_Plastics</v>
      </c>
      <c r="C58" s="50">
        <f t="shared" si="10"/>
        <v>0.16577441388222264</v>
      </c>
      <c r="D58" s="50">
        <f t="shared" si="15"/>
        <v>8.3994831087317715E-2</v>
      </c>
      <c r="E58" s="50">
        <f t="shared" si="15"/>
        <v>0.75023075503045966</v>
      </c>
      <c r="F58" s="50">
        <f t="shared" si="16"/>
        <v>1</v>
      </c>
      <c r="G58" s="59">
        <f t="shared" si="12"/>
        <v>0.62692869250004202</v>
      </c>
      <c r="H58" s="59">
        <f t="shared" si="13"/>
        <v>0.31765317938476517</v>
      </c>
      <c r="I58" s="59">
        <f t="shared" si="14"/>
        <v>2.8372363099333748</v>
      </c>
    </row>
    <row r="59" spans="1:26" x14ac:dyDescent="0.2">
      <c r="A59" s="40"/>
      <c r="B59" s="40"/>
      <c r="C59" s="50"/>
      <c r="D59" s="50"/>
      <c r="E59" s="50"/>
      <c r="F59" s="50" t="s">
        <v>13</v>
      </c>
      <c r="G59" s="59">
        <f>SUM(G50:G58)</f>
        <v>2.8642320732594149</v>
      </c>
      <c r="H59" s="59">
        <f t="shared" ref="H59:I59" si="19">SUM(H50:H58)</f>
        <v>4.6943732525353603</v>
      </c>
      <c r="I59" s="59">
        <f t="shared" si="19"/>
        <v>24.895940128750674</v>
      </c>
    </row>
    <row r="61" spans="1:26" x14ac:dyDescent="0.2">
      <c r="A61" s="2" t="s">
        <v>197</v>
      </c>
      <c r="T61" s="20" t="s">
        <v>926</v>
      </c>
    </row>
    <row r="62" spans="1:26" x14ac:dyDescent="0.2">
      <c r="A62" s="2"/>
      <c r="J62" s="193" t="s">
        <v>109</v>
      </c>
      <c r="K62" s="194"/>
      <c r="L62" s="194"/>
      <c r="M62" s="194"/>
      <c r="N62" s="194"/>
      <c r="O62" s="194"/>
      <c r="P62" s="194"/>
      <c r="Q62" s="195"/>
      <c r="T62" s="193" t="s">
        <v>109</v>
      </c>
      <c r="U62" s="194"/>
      <c r="V62" s="194"/>
      <c r="W62" s="194"/>
      <c r="X62" s="194"/>
      <c r="Y62" s="194"/>
      <c r="Z62" s="88"/>
    </row>
    <row r="63" spans="1:26" ht="68" x14ac:dyDescent="0.2">
      <c r="A63" s="48" t="s">
        <v>76</v>
      </c>
      <c r="B63" s="48" t="s">
        <v>202</v>
      </c>
      <c r="C63" s="48" t="s">
        <v>191</v>
      </c>
      <c r="D63" s="48" t="s">
        <v>925</v>
      </c>
      <c r="E63" s="48" t="s">
        <v>151</v>
      </c>
      <c r="F63" s="48" t="s">
        <v>6</v>
      </c>
      <c r="G63" s="48" t="s">
        <v>358</v>
      </c>
      <c r="H63" s="48" t="s">
        <v>333</v>
      </c>
      <c r="I63" s="48" t="s">
        <v>199</v>
      </c>
      <c r="J63" s="60" t="s">
        <v>394</v>
      </c>
      <c r="K63" s="60" t="s">
        <v>925</v>
      </c>
      <c r="L63" s="48" t="s">
        <v>358</v>
      </c>
      <c r="M63" s="48" t="s">
        <v>333</v>
      </c>
      <c r="N63" s="60" t="s">
        <v>191</v>
      </c>
      <c r="O63" s="60" t="s">
        <v>5</v>
      </c>
      <c r="P63" s="60" t="s">
        <v>6</v>
      </c>
      <c r="Q63" s="48" t="s">
        <v>110</v>
      </c>
      <c r="S63" s="48" t="s">
        <v>76</v>
      </c>
      <c r="T63" s="48" t="s">
        <v>360</v>
      </c>
      <c r="U63" s="48" t="s">
        <v>361</v>
      </c>
      <c r="V63" s="48" t="s">
        <v>193</v>
      </c>
      <c r="W63" s="48" t="s">
        <v>199</v>
      </c>
      <c r="X63" s="48" t="s">
        <v>192</v>
      </c>
      <c r="Y63" s="48" t="s">
        <v>199</v>
      </c>
      <c r="Z63" s="48" t="s">
        <v>367</v>
      </c>
    </row>
    <row r="64" spans="1:26" x14ac:dyDescent="0.2">
      <c r="A64" s="40" t="s">
        <v>82</v>
      </c>
      <c r="B64" s="40" t="str">
        <f>$A$44</f>
        <v>Other_Plastics</v>
      </c>
      <c r="C64" s="50">
        <f t="shared" ref="C64:C80" si="20">INDEX($C$37:$E$44,MATCH($B64,$A$37:$A$44,0),MATCH(C$49,$C$36:$E$36,0))</f>
        <v>0.16577441388222264</v>
      </c>
      <c r="D64" s="50">
        <v>0</v>
      </c>
      <c r="E64" s="50">
        <f t="shared" ref="E64:E77" si="21">INDEX($C$37:$E$44,MATCH($B64,$A$37:$A$44,0),MATCH(D$49,$C$36:$E$36,0))</f>
        <v>8.3994831087317715E-2</v>
      </c>
      <c r="F64" s="50">
        <f t="shared" ref="F64:F77" si="22">INDEX($C$37:$E$44,MATCH($B64,$A$37:$A$44,0),MATCH(E$49,$C$36:$E$36,0))-H64</f>
        <v>0.715231391382526</v>
      </c>
      <c r="G64" s="50">
        <v>0</v>
      </c>
      <c r="H64" s="50">
        <f>EndOfLife!$B$18*INDEX(PlasticsUse!$B$27:$L$41,MATCH(EndOfLife!$A64,PlasticsUse!$A$27:$A$41,0),6)</f>
        <v>3.4999363647933671E-2</v>
      </c>
      <c r="I64" s="50">
        <f t="shared" ref="I64:I80" si="23">SUM(C64:H64)</f>
        <v>1</v>
      </c>
      <c r="J64" s="42">
        <f>INDEX('In-Use Stocks'!$W$81:$W$97,MATCH(EndOfLife!$A64,'In-Use Stocks'!$L$81:$L$97,0),1)</f>
        <v>20.366908892186025</v>
      </c>
      <c r="K64" s="42">
        <f>J64*D64</f>
        <v>0</v>
      </c>
      <c r="L64" s="42">
        <f t="shared" ref="L64:L80" si="24">J64*G64</f>
        <v>0</v>
      </c>
      <c r="M64" s="42">
        <f t="shared" ref="M64:M80" si="25">J64*H64</f>
        <v>0.71282885070195257</v>
      </c>
      <c r="N64" s="58">
        <f t="shared" ref="N64:N80" si="26">C64*$J64</f>
        <v>3.3763123841947666</v>
      </c>
      <c r="O64" s="58">
        <f t="shared" ref="O64:O80" si="27">E64*$J64</f>
        <v>1.7107150721699544</v>
      </c>
      <c r="P64" s="58">
        <f t="shared" ref="P64:P80" si="28">F64*$J64</f>
        <v>14.567052585119352</v>
      </c>
      <c r="Q64" s="91">
        <f>SUM(K64:P64)-J64</f>
        <v>0</v>
      </c>
      <c r="S64" s="40" t="s">
        <v>82</v>
      </c>
      <c r="T64" s="40">
        <f t="shared" ref="T64:V65" si="29">INDEX($I$37:$L$44,MATCH($B64,$H$37:$H$44,0),MATCH(T$63,$I$36:$L$36,0))*$N64</f>
        <v>1.4605624041391865</v>
      </c>
      <c r="U64" s="40">
        <f t="shared" si="29"/>
        <v>0.78325325221206077</v>
      </c>
      <c r="V64" s="40">
        <f t="shared" si="29"/>
        <v>1.1324967278435194</v>
      </c>
      <c r="W64" s="91">
        <f>(N64+K64)-SUM(T64:V64)</f>
        <v>0</v>
      </c>
      <c r="X64" s="40">
        <f>T64</f>
        <v>1.4605624041391865</v>
      </c>
      <c r="Y64" s="41">
        <f t="shared" ref="Y64:Y78" si="30">T64-SUM(X64:X64)</f>
        <v>0</v>
      </c>
      <c r="Z64" s="169">
        <f>(X64+M64)/J64</f>
        <v>0.10671188575282442</v>
      </c>
    </row>
    <row r="65" spans="1:27" x14ac:dyDescent="0.2">
      <c r="A65" s="40" t="s">
        <v>127</v>
      </c>
      <c r="B65" s="40" t="str">
        <f>$A$44</f>
        <v>Other_Plastics</v>
      </c>
      <c r="C65" s="50">
        <f t="shared" si="20"/>
        <v>0.16577441388222264</v>
      </c>
      <c r="D65" s="50">
        <v>0</v>
      </c>
      <c r="E65" s="50">
        <f t="shared" si="21"/>
        <v>8.3994831087317715E-2</v>
      </c>
      <c r="F65" s="50">
        <f t="shared" si="22"/>
        <v>0.75023075503045966</v>
      </c>
      <c r="G65" s="50">
        <v>0</v>
      </c>
      <c r="H65" s="50">
        <f>EndOfLife!$B$18*INDEX(PlasticsUse!$B$27:$L$41,MATCH(EndOfLife!$A65,PlasticsUse!$A$27:$A$41,0),6)</f>
        <v>0</v>
      </c>
      <c r="I65" s="50">
        <f t="shared" si="23"/>
        <v>1</v>
      </c>
      <c r="J65" s="42">
        <f>INDEX('In-Use Stocks'!$W$81:$W$97,MATCH(EndOfLife!$A65,'In-Use Stocks'!$L$81:$L$97,0),1)</f>
        <v>1.9004609605610838</v>
      </c>
      <c r="K65" s="42">
        <f t="shared" ref="K65:K80" si="31">J65*D65</f>
        <v>0</v>
      </c>
      <c r="L65" s="42">
        <f t="shared" si="24"/>
        <v>0</v>
      </c>
      <c r="M65" s="42">
        <f t="shared" si="25"/>
        <v>0</v>
      </c>
      <c r="N65" s="58">
        <f t="shared" si="26"/>
        <v>0.31504780184305953</v>
      </c>
      <c r="O65" s="58">
        <f t="shared" si="27"/>
        <v>0.15962889737036981</v>
      </c>
      <c r="P65" s="58">
        <f t="shared" si="28"/>
        <v>1.4257842613476546</v>
      </c>
      <c r="Q65" s="91">
        <f t="shared" ref="Q65:Q80" si="32">SUM(K65:P65)-J65</f>
        <v>0</v>
      </c>
      <c r="S65" s="40" t="s">
        <v>127</v>
      </c>
      <c r="T65" s="40">
        <f t="shared" si="29"/>
        <v>0.13628684864371868</v>
      </c>
      <c r="U65" s="40">
        <f t="shared" si="29"/>
        <v>7.3086310541341917E-2</v>
      </c>
      <c r="V65" s="40">
        <f t="shared" si="29"/>
        <v>0.10567464265799893</v>
      </c>
      <c r="W65" s="91">
        <f t="shared" ref="W65:W80" si="33">(N65+K65)-SUM(T65:V65)</f>
        <v>0</v>
      </c>
      <c r="X65" s="40">
        <f>T65</f>
        <v>0.13628684864371868</v>
      </c>
      <c r="Y65" s="41">
        <f t="shared" si="30"/>
        <v>0</v>
      </c>
      <c r="Z65" s="169">
        <f t="shared" ref="Z65:Z80" si="34">(X65+M65)/J65</f>
        <v>7.1712522104890777E-2</v>
      </c>
    </row>
    <row r="66" spans="1:27" x14ac:dyDescent="0.2">
      <c r="A66" s="40" t="s">
        <v>8</v>
      </c>
      <c r="B66" s="40" t="str">
        <f>$A$37</f>
        <v>LDPE/LLDPE</v>
      </c>
      <c r="C66" s="50">
        <v>0</v>
      </c>
      <c r="D66" s="50">
        <f>INDEX($C$37:$E$44,MATCH($B66,$A$37:$A$44,0),MATCH(C$49,$C$36:$E$36,0))</f>
        <v>7.1646152218576717E-2</v>
      </c>
      <c r="E66" s="50">
        <f t="shared" si="21"/>
        <v>0.16002329977249108</v>
      </c>
      <c r="F66" s="50">
        <f t="shared" si="22"/>
        <v>0.73333118436099842</v>
      </c>
      <c r="G66" s="50">
        <v>0</v>
      </c>
      <c r="H66" s="50">
        <f>EndOfLife!$B$18*INDEX(PlasticsUse!$B$27:$L$41,MATCH(EndOfLife!$A66,PlasticsUse!$A$27:$A$41,0),6)</f>
        <v>3.4999363647933671E-2</v>
      </c>
      <c r="I66" s="50">
        <f t="shared" si="23"/>
        <v>0.99999999999999989</v>
      </c>
      <c r="J66" s="42">
        <f>INDEX('In-Use Stocks'!$W$81:$W$97,MATCH(EndOfLife!$A66,'In-Use Stocks'!$L$81:$L$97,0),1)</f>
        <v>1.9364381155202359</v>
      </c>
      <c r="K66" s="42">
        <f t="shared" si="31"/>
        <v>0.13873833998641666</v>
      </c>
      <c r="L66" s="42">
        <f t="shared" si="24"/>
        <v>0</v>
      </c>
      <c r="M66" s="42">
        <f t="shared" si="25"/>
        <v>6.7774101786812133E-2</v>
      </c>
      <c r="N66" s="58">
        <f t="shared" si="26"/>
        <v>0</v>
      </c>
      <c r="O66" s="58">
        <f t="shared" si="27"/>
        <v>0.30987521705077242</v>
      </c>
      <c r="P66" s="58">
        <f t="shared" si="28"/>
        <v>1.4200504566962344</v>
      </c>
      <c r="Q66" s="91">
        <f t="shared" si="32"/>
        <v>0</v>
      </c>
      <c r="S66" s="40" t="s">
        <v>8</v>
      </c>
      <c r="T66" s="40">
        <f>INDEX($I$37:$L$44,MATCH($B66,$H$37:$H$44,0),MATCH(T$63,$I$36:$L$36,0))*$K66</f>
        <v>9.0143106420287389E-2</v>
      </c>
      <c r="U66" s="40">
        <f t="shared" ref="U66:V67" si="35">INDEX($I$37:$L$44,MATCH($B66,$H$37:$H$44,0),MATCH(U$63,$I$36:$L$36,0))*$K66</f>
        <v>4.5229329942501256E-2</v>
      </c>
      <c r="V66" s="40">
        <f t="shared" si="35"/>
        <v>3.3659036236280008E-3</v>
      </c>
      <c r="W66" s="91">
        <f t="shared" si="33"/>
        <v>0</v>
      </c>
      <c r="X66" s="40">
        <f>T66</f>
        <v>9.0143106420287389E-2</v>
      </c>
      <c r="Y66" s="41">
        <f t="shared" si="30"/>
        <v>0</v>
      </c>
      <c r="Z66" s="169">
        <f t="shared" si="34"/>
        <v>8.1550351101550234E-2</v>
      </c>
      <c r="AA66" s="23"/>
    </row>
    <row r="67" spans="1:27" x14ac:dyDescent="0.2">
      <c r="A67" s="40" t="s">
        <v>19</v>
      </c>
      <c r="B67" s="40" t="str">
        <f>$A$37</f>
        <v>LDPE/LLDPE</v>
      </c>
      <c r="C67" s="50">
        <v>0</v>
      </c>
      <c r="D67" s="50">
        <f>INDEX($C$37:$E$44,MATCH($B66,$A$37:$A$44,0),MATCH(C$49,$C$36:$E$36,0))</f>
        <v>7.1646152218576717E-2</v>
      </c>
      <c r="E67" s="50">
        <f t="shared" si="21"/>
        <v>0.16002329977249108</v>
      </c>
      <c r="F67" s="50">
        <f t="shared" si="22"/>
        <v>0.73333118436099842</v>
      </c>
      <c r="G67" s="50">
        <v>0</v>
      </c>
      <c r="H67" s="50">
        <f>EndOfLife!$B$18*INDEX(PlasticsUse!$B$27:$L$41,MATCH(EndOfLife!$A67,PlasticsUse!$A$27:$A$41,0),6)</f>
        <v>3.4999363647933671E-2</v>
      </c>
      <c r="I67" s="50">
        <f t="shared" si="23"/>
        <v>0.99999999999999989</v>
      </c>
      <c r="J67" s="42">
        <f>INDEX('In-Use Stocks'!$W$81:$W$97,MATCH(EndOfLife!$A67,'In-Use Stocks'!$L$81:$L$97,0),1)</f>
        <v>1.6802864513959233</v>
      </c>
      <c r="K67" s="42">
        <f t="shared" si="31"/>
        <v>0.12038605886752443</v>
      </c>
      <c r="L67" s="42">
        <f t="shared" si="24"/>
        <v>0</v>
      </c>
      <c r="M67" s="42">
        <f t="shared" si="25"/>
        <v>5.8808956545101945E-2</v>
      </c>
      <c r="N67" s="58">
        <f t="shared" si="26"/>
        <v>0</v>
      </c>
      <c r="O67" s="58">
        <f t="shared" si="27"/>
        <v>0.26888498251538506</v>
      </c>
      <c r="P67" s="58">
        <f t="shared" si="28"/>
        <v>1.2322064534679116</v>
      </c>
      <c r="Q67" s="91">
        <f t="shared" si="32"/>
        <v>0</v>
      </c>
      <c r="S67" s="40" t="s">
        <v>19</v>
      </c>
      <c r="T67" s="40">
        <f>INDEX($I$37:$L$44,MATCH($B67,$H$37:$H$44,0),MATCH(T$63,$I$36:$L$36,0))*$K67</f>
        <v>7.8218993517413515E-2</v>
      </c>
      <c r="U67" s="40">
        <f t="shared" si="35"/>
        <v>3.9246402815038287E-2</v>
      </c>
      <c r="V67" s="40">
        <f t="shared" si="35"/>
        <v>2.9206625350726169E-3</v>
      </c>
      <c r="W67" s="91">
        <f t="shared" si="33"/>
        <v>0</v>
      </c>
      <c r="X67" s="40">
        <f>T67</f>
        <v>7.8218993517413515E-2</v>
      </c>
      <c r="Y67" s="41">
        <f t="shared" si="30"/>
        <v>0</v>
      </c>
      <c r="Z67" s="169">
        <f t="shared" si="34"/>
        <v>8.155035110155022E-2</v>
      </c>
      <c r="AA67" s="23"/>
    </row>
    <row r="68" spans="1:27" x14ac:dyDescent="0.2">
      <c r="A68" s="40" t="s">
        <v>1</v>
      </c>
      <c r="B68" s="40" t="str">
        <f>A68</f>
        <v>HDPE</v>
      </c>
      <c r="C68" s="50">
        <f t="shared" si="20"/>
        <v>0.11976264863578011</v>
      </c>
      <c r="D68" s="50">
        <v>0</v>
      </c>
      <c r="E68" s="50">
        <f t="shared" si="21"/>
        <v>0.15181497098319846</v>
      </c>
      <c r="F68" s="50">
        <f t="shared" si="22"/>
        <v>0.69342301673308782</v>
      </c>
      <c r="G68" s="50">
        <v>0</v>
      </c>
      <c r="H68" s="50">
        <f>EndOfLife!$B$18*INDEX(PlasticsUse!$B$27:$L$41,MATCH(EndOfLife!$A68,PlasticsUse!$A$27:$A$41,0),6)</f>
        <v>3.4999363647933671E-2</v>
      </c>
      <c r="I68" s="50">
        <f t="shared" si="23"/>
        <v>1.0000000000000002</v>
      </c>
      <c r="J68" s="42">
        <f>INDEX('In-Use Stocks'!$W$81:$W$97,MATCH(EndOfLife!$A68,'In-Use Stocks'!$L$81:$L$97,0),1)</f>
        <v>2.3497989510357531</v>
      </c>
      <c r="K68" s="42">
        <f t="shared" si="31"/>
        <v>0</v>
      </c>
      <c r="L68" s="42">
        <f t="shared" si="24"/>
        <v>0</v>
      </c>
      <c r="M68" s="42">
        <f t="shared" si="25"/>
        <v>8.2241467986833405E-2</v>
      </c>
      <c r="N68" s="58">
        <f t="shared" si="26"/>
        <v>0.28141814613761956</v>
      </c>
      <c r="O68" s="58">
        <f t="shared" si="27"/>
        <v>0.35673465956784306</v>
      </c>
      <c r="P68" s="58">
        <f t="shared" si="28"/>
        <v>1.6294046773434572</v>
      </c>
      <c r="Q68" s="91">
        <f t="shared" si="32"/>
        <v>0</v>
      </c>
      <c r="S68" s="40" t="s">
        <v>1</v>
      </c>
      <c r="T68" s="40">
        <f t="shared" ref="T68:V80" si="36">INDEX($I$37:$L$44,MATCH($B68,$H$37:$H$44,0),MATCH(T$63,$I$36:$L$36,0))*$N68</f>
        <v>0.18426848892856054</v>
      </c>
      <c r="U68" s="40">
        <f t="shared" si="36"/>
        <v>9.1743595784060952E-2</v>
      </c>
      <c r="V68" s="40">
        <f t="shared" si="36"/>
        <v>5.4060614249980474E-3</v>
      </c>
      <c r="W68" s="91">
        <f t="shared" si="33"/>
        <v>0</v>
      </c>
      <c r="X68" s="40">
        <f t="shared" ref="X68:X78" si="37">T68</f>
        <v>0.18426848892856054</v>
      </c>
      <c r="Y68" s="41">
        <f t="shared" si="30"/>
        <v>0</v>
      </c>
      <c r="Z68" s="169">
        <f t="shared" si="34"/>
        <v>0.113418195543036</v>
      </c>
    </row>
    <row r="69" spans="1:27" x14ac:dyDescent="0.2">
      <c r="A69" s="40" t="s">
        <v>10</v>
      </c>
      <c r="B69" s="40" t="str">
        <f t="shared" ref="B69:B70" si="38">A69</f>
        <v>PP</v>
      </c>
      <c r="C69" s="50">
        <f t="shared" si="20"/>
        <v>8.1946222791293207E-3</v>
      </c>
      <c r="D69" s="50">
        <v>0</v>
      </c>
      <c r="E69" s="50">
        <f t="shared" si="21"/>
        <v>0.14058898847631243</v>
      </c>
      <c r="F69" s="50">
        <f t="shared" si="22"/>
        <v>0.81621702559662457</v>
      </c>
      <c r="G69" s="50">
        <v>0</v>
      </c>
      <c r="H69" s="50">
        <f>EndOfLife!$B$18*INDEX(PlasticsUse!$B$27:$L$41,MATCH(EndOfLife!$A69,PlasticsUse!$A$27:$A$41,0),6)</f>
        <v>3.4999363647933671E-2</v>
      </c>
      <c r="I69" s="50">
        <f t="shared" si="23"/>
        <v>1</v>
      </c>
      <c r="J69" s="42">
        <f>INDEX('In-Use Stocks'!$W$81:$W$97,MATCH(EndOfLife!$A69,'In-Use Stocks'!$L$81:$L$97,0),1)</f>
        <v>1.807514640329168</v>
      </c>
      <c r="K69" s="42">
        <f t="shared" si="31"/>
        <v>0</v>
      </c>
      <c r="L69" s="42">
        <f t="shared" si="24"/>
        <v>0</v>
      </c>
      <c r="M69" s="42">
        <f t="shared" si="25"/>
        <v>6.3261862195844579E-2</v>
      </c>
      <c r="N69" s="58">
        <f t="shared" si="26"/>
        <v>1.4811899741493821E-2</v>
      </c>
      <c r="O69" s="58">
        <f t="shared" si="27"/>
        <v>0.25411665494000341</v>
      </c>
      <c r="P69" s="58">
        <f t="shared" si="28"/>
        <v>1.4753242234518262</v>
      </c>
      <c r="Q69" s="91">
        <f t="shared" si="32"/>
        <v>0</v>
      </c>
      <c r="S69" s="40" t="s">
        <v>10</v>
      </c>
      <c r="T69" s="40">
        <f t="shared" si="36"/>
        <v>0</v>
      </c>
      <c r="U69" s="40">
        <f t="shared" si="36"/>
        <v>1.4811899741493821E-2</v>
      </c>
      <c r="V69" s="40">
        <f t="shared" si="36"/>
        <v>0</v>
      </c>
      <c r="W69" s="91">
        <f t="shared" si="33"/>
        <v>0</v>
      </c>
      <c r="X69" s="40">
        <f t="shared" si="37"/>
        <v>0</v>
      </c>
      <c r="Y69" s="41">
        <f t="shared" si="30"/>
        <v>0</v>
      </c>
      <c r="Z69" s="169">
        <f t="shared" si="34"/>
        <v>3.4999363647933664E-2</v>
      </c>
    </row>
    <row r="70" spans="1:27" x14ac:dyDescent="0.2">
      <c r="A70" s="40" t="s">
        <v>11</v>
      </c>
      <c r="B70" s="40" t="str">
        <f t="shared" si="38"/>
        <v>PS</v>
      </c>
      <c r="C70" s="50">
        <f t="shared" si="20"/>
        <v>1.2569832402234636E-2</v>
      </c>
      <c r="D70" s="50">
        <v>0</v>
      </c>
      <c r="E70" s="50">
        <f t="shared" si="21"/>
        <v>0.17132216014897578</v>
      </c>
      <c r="F70" s="50">
        <f t="shared" si="22"/>
        <v>0.78110864380085587</v>
      </c>
      <c r="G70" s="50">
        <v>0</v>
      </c>
      <c r="H70" s="50">
        <f>EndOfLife!$B$18*INDEX(PlasticsUse!$B$27:$L$41,MATCH(EndOfLife!$A70,PlasticsUse!$A$27:$A$41,0),6)</f>
        <v>3.4999363647933671E-2</v>
      </c>
      <c r="I70" s="50">
        <f t="shared" si="23"/>
        <v>0.99999999999999989</v>
      </c>
      <c r="J70" s="42">
        <f>INDEX('In-Use Stocks'!$W$81:$W$97,MATCH(EndOfLife!$A70,'In-Use Stocks'!$L$81:$L$97,0),1)</f>
        <v>1.6862425775092786</v>
      </c>
      <c r="K70" s="42">
        <f t="shared" si="31"/>
        <v>0</v>
      </c>
      <c r="L70" s="42">
        <f t="shared" si="24"/>
        <v>0</v>
      </c>
      <c r="M70" s="42">
        <f t="shared" si="25"/>
        <v>5.9017417168876221E-2</v>
      </c>
      <c r="N70" s="58">
        <f t="shared" si="26"/>
        <v>2.1195786588803781E-2</v>
      </c>
      <c r="O70" s="58">
        <f t="shared" si="27"/>
        <v>0.28889072091406631</v>
      </c>
      <c r="P70" s="58">
        <f t="shared" si="28"/>
        <v>1.3171386528375322</v>
      </c>
      <c r="Q70" s="91">
        <f t="shared" si="32"/>
        <v>0</v>
      </c>
      <c r="S70" s="40" t="s">
        <v>11</v>
      </c>
      <c r="T70" s="40">
        <f t="shared" si="36"/>
        <v>1.8055670057129148E-2</v>
      </c>
      <c r="U70" s="40">
        <f t="shared" si="36"/>
        <v>3.1401165316746341E-3</v>
      </c>
      <c r="V70" s="40">
        <f t="shared" si="36"/>
        <v>0</v>
      </c>
      <c r="W70" s="91">
        <f t="shared" si="33"/>
        <v>0</v>
      </c>
      <c r="X70" s="40">
        <f t="shared" si="37"/>
        <v>1.8055670057129148E-2</v>
      </c>
      <c r="Y70" s="41">
        <f t="shared" si="30"/>
        <v>0</v>
      </c>
      <c r="Z70" s="169">
        <f t="shared" si="34"/>
        <v>4.5706998657244653E-2</v>
      </c>
    </row>
    <row r="71" spans="1:27" x14ac:dyDescent="0.2">
      <c r="A71" s="40" t="s">
        <v>25</v>
      </c>
      <c r="B71" s="40" t="str">
        <f>B70</f>
        <v>PS</v>
      </c>
      <c r="C71" s="50">
        <f t="shared" si="20"/>
        <v>1.2569832402234636E-2</v>
      </c>
      <c r="D71" s="50">
        <v>0</v>
      </c>
      <c r="E71" s="50">
        <f t="shared" si="21"/>
        <v>0.17132216014897578</v>
      </c>
      <c r="F71" s="50">
        <f t="shared" si="22"/>
        <v>0.78110864380085587</v>
      </c>
      <c r="G71" s="50">
        <v>0</v>
      </c>
      <c r="H71" s="50">
        <f>EndOfLife!$B$18*INDEX(PlasticsUse!$B$27:$L$41,MATCH(EndOfLife!$A71,PlasticsUse!$A$27:$A$41,0),6)</f>
        <v>3.4999363647933671E-2</v>
      </c>
      <c r="I71" s="50">
        <f t="shared" si="23"/>
        <v>0.99999999999999989</v>
      </c>
      <c r="J71" s="42">
        <f>INDEX('In-Use Stocks'!$W$81:$W$97,MATCH(EndOfLife!$A71,'In-Use Stocks'!$L$81:$L$97,0),1)</f>
        <v>1.7315830917933184</v>
      </c>
      <c r="K71" s="42">
        <f t="shared" si="31"/>
        <v>0</v>
      </c>
      <c r="L71" s="42">
        <f t="shared" si="24"/>
        <v>0</v>
      </c>
      <c r="M71" s="42">
        <f t="shared" si="25"/>
        <v>6.0604306316287659E-2</v>
      </c>
      <c r="N71" s="58">
        <f t="shared" si="26"/>
        <v>2.1765709254385285E-2</v>
      </c>
      <c r="O71" s="58">
        <f t="shared" si="27"/>
        <v>0.2966585557634735</v>
      </c>
      <c r="P71" s="58">
        <f t="shared" si="28"/>
        <v>1.3525545204591718</v>
      </c>
      <c r="Q71" s="91">
        <f t="shared" si="32"/>
        <v>0</v>
      </c>
      <c r="S71" s="40" t="s">
        <v>25</v>
      </c>
      <c r="T71" s="40">
        <f t="shared" si="36"/>
        <v>1.8541159735217094E-2</v>
      </c>
      <c r="U71" s="40">
        <f t="shared" si="36"/>
        <v>3.2245495191681904E-3</v>
      </c>
      <c r="V71" s="40">
        <f t="shared" si="36"/>
        <v>0</v>
      </c>
      <c r="W71" s="91">
        <f t="shared" si="33"/>
        <v>0</v>
      </c>
      <c r="X71" s="40">
        <f t="shared" si="37"/>
        <v>1.8541159735217094E-2</v>
      </c>
      <c r="Y71" s="41">
        <f t="shared" si="30"/>
        <v>0</v>
      </c>
      <c r="Z71" s="169">
        <f t="shared" si="34"/>
        <v>4.570699865724466E-2</v>
      </c>
    </row>
    <row r="72" spans="1:27" x14ac:dyDescent="0.2">
      <c r="A72" s="40" t="s">
        <v>7</v>
      </c>
      <c r="B72" s="40" t="str">
        <f>A72</f>
        <v>PVC</v>
      </c>
      <c r="C72" s="50">
        <f t="shared" si="20"/>
        <v>3.1479538300104928E-3</v>
      </c>
      <c r="D72" s="50">
        <v>0</v>
      </c>
      <c r="E72" s="50">
        <f t="shared" si="21"/>
        <v>0.15424973767051414</v>
      </c>
      <c r="F72" s="50">
        <f t="shared" si="22"/>
        <v>0.80760294485154172</v>
      </c>
      <c r="G72" s="50">
        <v>0</v>
      </c>
      <c r="H72" s="50">
        <f>EndOfLife!$B$18*INDEX(PlasticsUse!$B$27:$L$41,MATCH(EndOfLife!$A72,PlasticsUse!$A$27:$A$41,0),6)</f>
        <v>3.4999363647933671E-2</v>
      </c>
      <c r="I72" s="50">
        <f t="shared" si="23"/>
        <v>1</v>
      </c>
      <c r="J72" s="42">
        <f>INDEX('In-Use Stocks'!$W$81:$W$97,MATCH(EndOfLife!$A72,'In-Use Stocks'!$L$81:$L$97,0),1)</f>
        <v>1.7718467934328523</v>
      </c>
      <c r="K72" s="42">
        <f t="shared" si="31"/>
        <v>0</v>
      </c>
      <c r="L72" s="42">
        <f t="shared" si="24"/>
        <v>0</v>
      </c>
      <c r="M72" s="42">
        <f t="shared" si="25"/>
        <v>6.201351025178161E-2</v>
      </c>
      <c r="N72" s="58">
        <f t="shared" si="26"/>
        <v>5.5776918995787579E-3</v>
      </c>
      <c r="O72" s="58">
        <f t="shared" si="27"/>
        <v>0.27330690307935912</v>
      </c>
      <c r="P72" s="58">
        <f t="shared" si="28"/>
        <v>1.4309486882021329</v>
      </c>
      <c r="Q72" s="91">
        <f t="shared" si="32"/>
        <v>0</v>
      </c>
      <c r="S72" s="40" t="s">
        <v>7</v>
      </c>
      <c r="T72" s="40">
        <f t="shared" si="36"/>
        <v>0</v>
      </c>
      <c r="U72" s="40">
        <f t="shared" si="36"/>
        <v>3.7184612663858389E-3</v>
      </c>
      <c r="V72" s="40">
        <f t="shared" si="36"/>
        <v>1.8592306331929192E-3</v>
      </c>
      <c r="W72" s="91">
        <f t="shared" si="33"/>
        <v>0</v>
      </c>
      <c r="X72" s="40">
        <f t="shared" si="37"/>
        <v>0</v>
      </c>
      <c r="Y72" s="41">
        <f t="shared" si="30"/>
        <v>0</v>
      </c>
      <c r="Z72" s="169">
        <f t="shared" si="34"/>
        <v>3.4999363647933671E-2</v>
      </c>
    </row>
    <row r="73" spans="1:27" x14ac:dyDescent="0.2">
      <c r="A73" s="40" t="s">
        <v>2</v>
      </c>
      <c r="B73" s="40" t="str">
        <f>A73</f>
        <v>PET</v>
      </c>
      <c r="C73" s="50">
        <f t="shared" si="20"/>
        <v>0.18431287813310285</v>
      </c>
      <c r="D73" s="50">
        <v>0</v>
      </c>
      <c r="E73" s="50">
        <f t="shared" si="21"/>
        <v>0.15341400172860845</v>
      </c>
      <c r="F73" s="50">
        <f t="shared" si="22"/>
        <v>0.66227312013828865</v>
      </c>
      <c r="G73" s="50">
        <v>0</v>
      </c>
      <c r="H73" s="50">
        <f>EndOfLife!$B$18*INDEX(PlasticsUse!$B$27:$L$41,MATCH(EndOfLife!$A73,PlasticsUse!$A$27:$A$41,0),6)</f>
        <v>0</v>
      </c>
      <c r="I73" s="50">
        <f t="shared" si="23"/>
        <v>1</v>
      </c>
      <c r="J73" s="42">
        <f>INDEX('In-Use Stocks'!$W$81:$W$97,MATCH(EndOfLife!$A73,'In-Use Stocks'!$L$81:$L$97,0),1)</f>
        <v>3.8138937580082017</v>
      </c>
      <c r="K73" s="42">
        <f t="shared" si="31"/>
        <v>0</v>
      </c>
      <c r="L73" s="42">
        <f t="shared" si="24"/>
        <v>0</v>
      </c>
      <c r="M73" s="42">
        <f t="shared" si="25"/>
        <v>0</v>
      </c>
      <c r="N73" s="58">
        <f t="shared" si="26"/>
        <v>0.70294973543236738</v>
      </c>
      <c r="O73" s="58">
        <f t="shared" si="27"/>
        <v>0.58510470358379918</v>
      </c>
      <c r="P73" s="58">
        <f t="shared" si="28"/>
        <v>2.525839318992035</v>
      </c>
      <c r="Q73" s="91">
        <f t="shared" si="32"/>
        <v>0</v>
      </c>
      <c r="S73" s="40" t="s">
        <v>2</v>
      </c>
      <c r="T73" s="40">
        <f t="shared" si="36"/>
        <v>0.3996841989269615</v>
      </c>
      <c r="U73" s="40">
        <f t="shared" si="36"/>
        <v>0.17882777560237251</v>
      </c>
      <c r="V73" s="40">
        <f t="shared" si="36"/>
        <v>0.12443776090303338</v>
      </c>
      <c r="W73" s="91">
        <f t="shared" si="33"/>
        <v>0</v>
      </c>
      <c r="X73" s="40">
        <f t="shared" si="37"/>
        <v>0.3996841989269615</v>
      </c>
      <c r="Y73" s="41">
        <f t="shared" si="30"/>
        <v>0</v>
      </c>
      <c r="Z73" s="169">
        <f t="shared" si="34"/>
        <v>0.10479688850475367</v>
      </c>
    </row>
    <row r="74" spans="1:27" x14ac:dyDescent="0.2">
      <c r="A74" s="40" t="s">
        <v>30</v>
      </c>
      <c r="B74" s="40" t="s">
        <v>362</v>
      </c>
      <c r="C74" s="50">
        <f t="shared" si="20"/>
        <v>0</v>
      </c>
      <c r="D74" s="50">
        <v>0</v>
      </c>
      <c r="E74" s="50">
        <f t="shared" si="21"/>
        <v>8.3994831087317715E-2</v>
      </c>
      <c r="F74" s="50">
        <f t="shared" si="22"/>
        <v>0.91600516891268224</v>
      </c>
      <c r="G74" s="50">
        <v>0</v>
      </c>
      <c r="H74" s="50">
        <f>EndOfLife!$B$18*INDEX(PlasticsUse!$B$27:$L$41,MATCH(EndOfLife!$A74,PlasticsUse!$A$27:$A$41,0),6)</f>
        <v>0</v>
      </c>
      <c r="I74" s="50">
        <f t="shared" si="23"/>
        <v>1</v>
      </c>
      <c r="J74" s="42">
        <f>INDEX('In-Use Stocks'!$W$81:$W$97,MATCH(EndOfLife!$A74,'In-Use Stocks'!$L$81:$L$97,0),1)</f>
        <v>1.1553918727920713</v>
      </c>
      <c r="K74" s="42">
        <f t="shared" si="31"/>
        <v>0</v>
      </c>
      <c r="L74" s="42">
        <f t="shared" si="24"/>
        <v>0</v>
      </c>
      <c r="M74" s="42">
        <f t="shared" si="25"/>
        <v>0</v>
      </c>
      <c r="N74" s="58">
        <f t="shared" si="26"/>
        <v>0</v>
      </c>
      <c r="O74" s="58">
        <f t="shared" si="27"/>
        <v>9.7046945194829703E-2</v>
      </c>
      <c r="P74" s="58">
        <f t="shared" si="28"/>
        <v>1.0583449275972416</v>
      </c>
      <c r="Q74" s="91">
        <f t="shared" si="32"/>
        <v>0</v>
      </c>
      <c r="S74" s="40" t="s">
        <v>30</v>
      </c>
      <c r="T74" s="40">
        <f t="shared" si="36"/>
        <v>0</v>
      </c>
      <c r="U74" s="40">
        <f t="shared" si="36"/>
        <v>0</v>
      </c>
      <c r="V74" s="40">
        <f t="shared" si="36"/>
        <v>0</v>
      </c>
      <c r="W74" s="91">
        <f t="shared" si="33"/>
        <v>0</v>
      </c>
      <c r="X74" s="40">
        <f t="shared" si="37"/>
        <v>0</v>
      </c>
      <c r="Y74" s="41">
        <f t="shared" si="30"/>
        <v>0</v>
      </c>
      <c r="Z74" s="169">
        <f t="shared" si="34"/>
        <v>0</v>
      </c>
    </row>
    <row r="75" spans="1:27" x14ac:dyDescent="0.2">
      <c r="A75" s="40" t="s">
        <v>31</v>
      </c>
      <c r="B75" s="40" t="s">
        <v>362</v>
      </c>
      <c r="C75" s="50">
        <f t="shared" si="20"/>
        <v>0</v>
      </c>
      <c r="D75" s="50">
        <v>0</v>
      </c>
      <c r="E75" s="50">
        <f t="shared" si="21"/>
        <v>8.3994831087317715E-2</v>
      </c>
      <c r="F75" s="50">
        <f t="shared" si="22"/>
        <v>0.70425516891268225</v>
      </c>
      <c r="G75" s="50">
        <v>0</v>
      </c>
      <c r="H75" s="50">
        <f>EndOfLife!$B$18*INDEX(PlasticsUse!$B$27:$L$41,MATCH(EndOfLife!$A75,PlasticsUse!$A$27:$A$41,0),6)</f>
        <v>0.21175000000000002</v>
      </c>
      <c r="I75" s="50">
        <f t="shared" si="23"/>
        <v>1</v>
      </c>
      <c r="J75" s="42">
        <f>INDEX('In-Use Stocks'!$W$81:$W$97,MATCH(EndOfLife!$A75,'In-Use Stocks'!$L$81:$L$97,0),1)</f>
        <v>0.98084169246820285</v>
      </c>
      <c r="K75" s="42">
        <f t="shared" si="31"/>
        <v>0</v>
      </c>
      <c r="L75" s="42">
        <f t="shared" si="24"/>
        <v>0</v>
      </c>
      <c r="M75" s="42">
        <f t="shared" si="25"/>
        <v>0.20769322838014198</v>
      </c>
      <c r="N75" s="58">
        <f t="shared" si="26"/>
        <v>0</v>
      </c>
      <c r="O75" s="58">
        <f t="shared" si="27"/>
        <v>8.2385632282265531E-2</v>
      </c>
      <c r="P75" s="58">
        <f t="shared" si="28"/>
        <v>0.69076283180579534</v>
      </c>
      <c r="Q75" s="91">
        <f t="shared" si="32"/>
        <v>0</v>
      </c>
      <c r="S75" s="40" t="s">
        <v>31</v>
      </c>
      <c r="T75" s="40">
        <f t="shared" si="36"/>
        <v>0</v>
      </c>
      <c r="U75" s="40">
        <f t="shared" si="36"/>
        <v>0</v>
      </c>
      <c r="V75" s="40">
        <f t="shared" si="36"/>
        <v>0</v>
      </c>
      <c r="W75" s="91">
        <f t="shared" si="33"/>
        <v>0</v>
      </c>
      <c r="X75" s="40">
        <f t="shared" si="37"/>
        <v>0</v>
      </c>
      <c r="Y75" s="41">
        <f t="shared" si="30"/>
        <v>0</v>
      </c>
      <c r="Z75" s="169">
        <f t="shared" si="34"/>
        <v>0.21175000000000002</v>
      </c>
    </row>
    <row r="76" spans="1:27" x14ac:dyDescent="0.2">
      <c r="A76" s="40" t="s">
        <v>122</v>
      </c>
      <c r="B76" s="40" t="s">
        <v>362</v>
      </c>
      <c r="C76" s="50">
        <f t="shared" si="20"/>
        <v>0</v>
      </c>
      <c r="D76" s="50">
        <v>0</v>
      </c>
      <c r="E76" s="50">
        <f t="shared" si="21"/>
        <v>8.3994831087317715E-2</v>
      </c>
      <c r="F76" s="50">
        <f t="shared" si="22"/>
        <v>0.91600516891268224</v>
      </c>
      <c r="G76" s="50">
        <v>0</v>
      </c>
      <c r="H76" s="50">
        <f>EndOfLife!$B$18*INDEX(PlasticsUse!$B$27:$L$41,MATCH(EndOfLife!$A76,PlasticsUse!$A$27:$A$41,0),6)</f>
        <v>0</v>
      </c>
      <c r="I76" s="50">
        <f t="shared" si="23"/>
        <v>1</v>
      </c>
      <c r="J76" s="42">
        <f>INDEX('In-Use Stocks'!$W$81:$W$97,MATCH(EndOfLife!$A76,'In-Use Stocks'!$L$81:$L$97,0),1)</f>
        <v>0.5906203232650975</v>
      </c>
      <c r="K76" s="42">
        <f t="shared" si="31"/>
        <v>0</v>
      </c>
      <c r="L76" s="42">
        <f t="shared" si="24"/>
        <v>0</v>
      </c>
      <c r="M76" s="42">
        <f t="shared" si="25"/>
        <v>0</v>
      </c>
      <c r="N76" s="58">
        <f t="shared" si="26"/>
        <v>0</v>
      </c>
      <c r="O76" s="58">
        <f t="shared" si="27"/>
        <v>4.9609054289388853E-2</v>
      </c>
      <c r="P76" s="58">
        <f t="shared" si="28"/>
        <v>0.54101126897570861</v>
      </c>
      <c r="Q76" s="91">
        <f t="shared" si="32"/>
        <v>0</v>
      </c>
      <c r="S76" s="40" t="s">
        <v>122</v>
      </c>
      <c r="T76" s="40">
        <f t="shared" si="36"/>
        <v>0</v>
      </c>
      <c r="U76" s="40">
        <f t="shared" si="36"/>
        <v>0</v>
      </c>
      <c r="V76" s="40">
        <f t="shared" si="36"/>
        <v>0</v>
      </c>
      <c r="W76" s="91">
        <f t="shared" si="33"/>
        <v>0</v>
      </c>
      <c r="X76" s="40">
        <f t="shared" si="37"/>
        <v>0</v>
      </c>
      <c r="Y76" s="41">
        <f t="shared" si="30"/>
        <v>0</v>
      </c>
      <c r="Z76" s="169">
        <f t="shared" si="34"/>
        <v>0</v>
      </c>
    </row>
    <row r="77" spans="1:27" x14ac:dyDescent="0.2">
      <c r="A77" s="40" t="s">
        <v>32</v>
      </c>
      <c r="B77" s="40" t="s">
        <v>362</v>
      </c>
      <c r="C77" s="50">
        <f t="shared" si="20"/>
        <v>0</v>
      </c>
      <c r="D77" s="50">
        <v>0</v>
      </c>
      <c r="E77" s="50">
        <f t="shared" si="21"/>
        <v>8.3994831087317715E-2</v>
      </c>
      <c r="F77" s="50">
        <f t="shared" si="22"/>
        <v>0.8197551689126823</v>
      </c>
      <c r="G77" s="50">
        <v>0</v>
      </c>
      <c r="H77" s="50">
        <f>EndOfLife!$B$18*INDEX(PlasticsUse!$B$27:$L$41,MATCH(EndOfLife!$A77,PlasticsUse!$A$27:$A$41,0),6)</f>
        <v>9.6250000000000002E-2</v>
      </c>
      <c r="I77" s="50">
        <f t="shared" si="23"/>
        <v>1</v>
      </c>
      <c r="J77" s="42">
        <f>INDEX('In-Use Stocks'!$W$81:$W$97,MATCH(EndOfLife!$A77,'In-Use Stocks'!$L$81:$L$97,0),1)</f>
        <v>3.4780036556927416</v>
      </c>
      <c r="K77" s="42">
        <f t="shared" si="31"/>
        <v>0</v>
      </c>
      <c r="L77" s="42">
        <f t="shared" si="24"/>
        <v>0</v>
      </c>
      <c r="M77" s="42">
        <f t="shared" si="25"/>
        <v>0.33475785186042639</v>
      </c>
      <c r="N77" s="58">
        <f t="shared" si="26"/>
        <v>0</v>
      </c>
      <c r="O77" s="58">
        <f t="shared" si="27"/>
        <v>0.29213432958098534</v>
      </c>
      <c r="P77" s="58">
        <f t="shared" si="28"/>
        <v>2.8511114742513297</v>
      </c>
      <c r="Q77" s="91">
        <f t="shared" si="32"/>
        <v>0</v>
      </c>
      <c r="S77" s="40" t="s">
        <v>32</v>
      </c>
      <c r="T77" s="40">
        <f t="shared" si="36"/>
        <v>0</v>
      </c>
      <c r="U77" s="40">
        <f t="shared" si="36"/>
        <v>0</v>
      </c>
      <c r="V77" s="40">
        <f t="shared" si="36"/>
        <v>0</v>
      </c>
      <c r="W77" s="91">
        <f t="shared" si="33"/>
        <v>0</v>
      </c>
      <c r="X77" s="40">
        <f t="shared" si="37"/>
        <v>0</v>
      </c>
      <c r="Y77" s="41">
        <f t="shared" si="30"/>
        <v>0</v>
      </c>
      <c r="Z77" s="169">
        <f t="shared" si="34"/>
        <v>9.6250000000000002E-2</v>
      </c>
    </row>
    <row r="78" spans="1:27" x14ac:dyDescent="0.2">
      <c r="A78" s="40" t="s">
        <v>105</v>
      </c>
      <c r="B78" s="40" t="s">
        <v>362</v>
      </c>
      <c r="C78" s="50">
        <v>0</v>
      </c>
      <c r="D78" s="50">
        <v>0</v>
      </c>
      <c r="E78" s="50">
        <f>$B$107*$C$99</f>
        <v>0.34658</v>
      </c>
      <c r="F78" s="50">
        <f>1-SUM(E78,G78)</f>
        <v>0.343916</v>
      </c>
      <c r="G78" s="50">
        <f>$B$108*$C$99</f>
        <v>0.309504</v>
      </c>
      <c r="H78" s="50">
        <f>EndOfLife!$B$18*INDEX(PlasticsUse!$B$27:$L$41,MATCH(EndOfLife!$A78,PlasticsUse!$A$27:$A$41,0),6)</f>
        <v>0</v>
      </c>
      <c r="I78" s="50">
        <f t="shared" si="23"/>
        <v>1</v>
      </c>
      <c r="J78" s="42">
        <f>INDEX('In-Use Stocks'!$W$81:$W$97,MATCH(EndOfLife!$A78,'In-Use Stocks'!$L$81:$L$97,0),1)</f>
        <v>0.88765978446791582</v>
      </c>
      <c r="K78" s="42">
        <f t="shared" si="31"/>
        <v>0</v>
      </c>
      <c r="L78" s="42">
        <f t="shared" si="24"/>
        <v>0.27473425393195783</v>
      </c>
      <c r="M78" s="42">
        <f t="shared" si="25"/>
        <v>0</v>
      </c>
      <c r="N78" s="58">
        <f t="shared" si="26"/>
        <v>0</v>
      </c>
      <c r="O78" s="58">
        <f t="shared" si="27"/>
        <v>0.30764512810089029</v>
      </c>
      <c r="P78" s="58">
        <f t="shared" si="28"/>
        <v>0.30528040243506777</v>
      </c>
      <c r="Q78" s="91">
        <f t="shared" si="32"/>
        <v>0</v>
      </c>
      <c r="S78" s="40" t="s">
        <v>105</v>
      </c>
      <c r="T78" s="40">
        <f t="shared" si="36"/>
        <v>0</v>
      </c>
      <c r="U78" s="40">
        <f t="shared" si="36"/>
        <v>0</v>
      </c>
      <c r="V78" s="40">
        <f t="shared" si="36"/>
        <v>0</v>
      </c>
      <c r="W78" s="91">
        <f t="shared" si="33"/>
        <v>0</v>
      </c>
      <c r="X78" s="40">
        <f t="shared" si="37"/>
        <v>0</v>
      </c>
      <c r="Y78" s="41">
        <f t="shared" si="30"/>
        <v>0</v>
      </c>
      <c r="Z78" s="169">
        <f t="shared" si="34"/>
        <v>0</v>
      </c>
    </row>
    <row r="79" spans="1:27" x14ac:dyDescent="0.2">
      <c r="A79" s="40" t="s">
        <v>576</v>
      </c>
      <c r="B79" s="40" t="str">
        <f>$A$44</f>
        <v>Other_Plastics</v>
      </c>
      <c r="C79" s="50">
        <f t="shared" si="20"/>
        <v>0.16577441388222264</v>
      </c>
      <c r="D79" s="50">
        <v>0</v>
      </c>
      <c r="E79" s="50">
        <f>INDEX($C$37:$E$44,MATCH($B79,$A$37:$A$44,0),MATCH(D$49,$C$36:$E$36,0))</f>
        <v>8.3994831087317715E-2</v>
      </c>
      <c r="F79" s="50">
        <f>INDEX($C$37:$E$44,MATCH($B79,$A$37:$A$44,0),MATCH(E$49,$C$36:$E$36,0))-H79</f>
        <v>0.75023075503045966</v>
      </c>
      <c r="G79" s="50">
        <v>0</v>
      </c>
      <c r="H79" s="50">
        <v>0</v>
      </c>
      <c r="I79" s="50">
        <f t="shared" si="23"/>
        <v>1</v>
      </c>
      <c r="J79" s="42">
        <f>INDEX('In-Use Stocks'!$W$81:$W$97,MATCH(EndOfLife!$A79,'In-Use Stocks'!$L$81:$L$97,0),1)</f>
        <v>1.8968011563510843</v>
      </c>
      <c r="K79" s="42">
        <f t="shared" si="31"/>
        <v>0</v>
      </c>
      <c r="L79" s="42">
        <f t="shared" si="24"/>
        <v>0</v>
      </c>
      <c r="M79" s="42">
        <f t="shared" si="25"/>
        <v>0</v>
      </c>
      <c r="N79" s="58">
        <f t="shared" si="26"/>
        <v>0.31444109994522312</v>
      </c>
      <c r="O79" s="58">
        <f t="shared" si="27"/>
        <v>0.15932149273393825</v>
      </c>
      <c r="P79" s="58">
        <f t="shared" si="28"/>
        <v>1.4230385636719229</v>
      </c>
      <c r="Q79" s="91">
        <f t="shared" si="32"/>
        <v>0</v>
      </c>
      <c r="S79" s="40" t="s">
        <v>576</v>
      </c>
      <c r="T79" s="40">
        <f t="shared" si="36"/>
        <v>0.13602439485340947</v>
      </c>
      <c r="U79" s="40">
        <f t="shared" si="36"/>
        <v>7.2945564905118179E-2</v>
      </c>
      <c r="V79" s="40">
        <f t="shared" si="36"/>
        <v>0.10547114018669546</v>
      </c>
      <c r="W79" s="91">
        <f t="shared" si="33"/>
        <v>0</v>
      </c>
      <c r="X79" s="40">
        <f t="shared" ref="X79:X80" si="39">T79</f>
        <v>0.13602439485340947</v>
      </c>
      <c r="Y79" s="41">
        <f t="shared" ref="Y79:Y80" si="40">T79-SUM(X79:X79)</f>
        <v>0</v>
      </c>
      <c r="Z79" s="169">
        <f t="shared" si="34"/>
        <v>7.171252210489075E-2</v>
      </c>
    </row>
    <row r="80" spans="1:27" x14ac:dyDescent="0.2">
      <c r="A80" s="40" t="s">
        <v>575</v>
      </c>
      <c r="B80" s="40" t="str">
        <f>$A$44</f>
        <v>Other_Plastics</v>
      </c>
      <c r="C80" s="50">
        <f t="shared" si="20"/>
        <v>0.16577441388222264</v>
      </c>
      <c r="D80" s="50">
        <v>0</v>
      </c>
      <c r="E80" s="50">
        <f>INDEX($C$37:$E$44,MATCH($B80,$A$37:$A$44,0),MATCH(D$49,$C$36:$E$36,0))</f>
        <v>8.3994831087317715E-2</v>
      </c>
      <c r="F80" s="50">
        <f>INDEX($C$37:$E$44,MATCH($B80,$A$37:$A$44,0),MATCH(E$49,$C$36:$E$36,0))-H80</f>
        <v>0.75023075503045966</v>
      </c>
      <c r="G80" s="50">
        <v>0</v>
      </c>
      <c r="H80" s="50">
        <v>0</v>
      </c>
      <c r="I80" s="50">
        <f t="shared" si="23"/>
        <v>1</v>
      </c>
      <c r="J80" s="42">
        <f>INDEX('In-Use Stocks'!$W$81:$W$97,MATCH(EndOfLife!$A80,'In-Use Stocks'!$L$81:$L$97,0),1)</f>
        <v>0.8261398622005065</v>
      </c>
      <c r="K80" s="42">
        <f t="shared" si="31"/>
        <v>0</v>
      </c>
      <c r="L80" s="42">
        <f t="shared" si="24"/>
        <v>0</v>
      </c>
      <c r="M80" s="42">
        <f t="shared" si="25"/>
        <v>0</v>
      </c>
      <c r="N80" s="58">
        <f t="shared" si="26"/>
        <v>0.13695285144102914</v>
      </c>
      <c r="O80" s="58">
        <f t="shared" si="27"/>
        <v>6.9391478180031482E-2</v>
      </c>
      <c r="P80" s="58">
        <f t="shared" si="28"/>
        <v>0.61979553257944586</v>
      </c>
      <c r="Q80" s="91">
        <f t="shared" si="32"/>
        <v>0</v>
      </c>
      <c r="S80" s="40" t="s">
        <v>575</v>
      </c>
      <c r="T80" s="40">
        <f t="shared" si="36"/>
        <v>5.9244573129785233E-2</v>
      </c>
      <c r="U80" s="40">
        <f t="shared" si="36"/>
        <v>3.1770983867798815E-2</v>
      </c>
      <c r="V80" s="40">
        <f t="shared" si="36"/>
        <v>4.5937294443445097E-2</v>
      </c>
      <c r="W80" s="91">
        <f t="shared" si="33"/>
        <v>0</v>
      </c>
      <c r="X80" s="40">
        <f t="shared" si="39"/>
        <v>5.9244573129785233E-2</v>
      </c>
      <c r="Y80" s="41">
        <f t="shared" si="40"/>
        <v>0</v>
      </c>
      <c r="Z80" s="169">
        <f t="shared" si="34"/>
        <v>7.1712522104890764E-2</v>
      </c>
    </row>
    <row r="81" spans="1:26" x14ac:dyDescent="0.2">
      <c r="J81" s="94" t="s">
        <v>933</v>
      </c>
      <c r="K81" s="95">
        <f>SUM(K64:K80)/SUM($J$64:$J$80)</f>
        <v>5.303358672376174E-3</v>
      </c>
      <c r="L81" s="95">
        <f t="shared" ref="L81:P81" si="41">SUM(L64:L80)/SUM($J$64:$J$80)</f>
        <v>5.62283711851508E-3</v>
      </c>
      <c r="M81" s="95">
        <f t="shared" si="41"/>
        <v>3.4977208816776816E-2</v>
      </c>
      <c r="N81" s="95">
        <f t="shared" si="41"/>
        <v>0.10623060076443462</v>
      </c>
      <c r="O81" s="95">
        <f t="shared" si="41"/>
        <v>0.11382319258684924</v>
      </c>
      <c r="P81" s="95">
        <f t="shared" si="41"/>
        <v>0.73404280204104821</v>
      </c>
      <c r="T81" s="51">
        <f>SUM(T64:T80)/SUM($N$64:$N$80,$K$64:$K$80)</f>
        <v>0.47361843435707102</v>
      </c>
      <c r="U81" s="51">
        <f t="shared" ref="U81:V81" si="42">SUM(U64:U80)/SUM($N$64:$N$80,$K$64:$K$80)</f>
        <v>0.246072896469306</v>
      </c>
      <c r="V81" s="51">
        <f t="shared" si="42"/>
        <v>0.2803086691736229</v>
      </c>
      <c r="X81" s="93"/>
      <c r="Y81" s="96"/>
      <c r="Z81" s="169">
        <f>SUM(X64:X80,M64:M80,L78)/SUM(J64:J80)</f>
        <v>9.3424585181399289E-2</v>
      </c>
    </row>
    <row r="82" spans="1:26" x14ac:dyDescent="0.2">
      <c r="A82" s="2" t="s">
        <v>366</v>
      </c>
      <c r="T82" s="94"/>
      <c r="U82" s="40"/>
    </row>
    <row r="83" spans="1:26" x14ac:dyDescent="0.2">
      <c r="J83" s="90"/>
    </row>
    <row r="84" spans="1:26" x14ac:dyDescent="0.2">
      <c r="A84" s="39" t="s">
        <v>365</v>
      </c>
      <c r="B84" s="39" t="s">
        <v>330</v>
      </c>
      <c r="C84" s="39" t="s">
        <v>335</v>
      </c>
      <c r="D84" s="39" t="s">
        <v>110</v>
      </c>
      <c r="I84" s="90"/>
      <c r="M84" s="18"/>
    </row>
    <row r="85" spans="1:26" x14ac:dyDescent="0.2">
      <c r="A85" s="40" t="s">
        <v>82</v>
      </c>
      <c r="B85" s="50">
        <f>1-PlasticsUse!D27</f>
        <v>0.90909256195341903</v>
      </c>
      <c r="C85" s="50">
        <f>PlasticsUse!D27</f>
        <v>9.0907438046580968E-2</v>
      </c>
      <c r="D85" s="50">
        <f>SUM(B85:C85)</f>
        <v>1</v>
      </c>
      <c r="I85" s="90"/>
    </row>
    <row r="86" spans="1:26" x14ac:dyDescent="0.2">
      <c r="A86" s="40" t="s">
        <v>127</v>
      </c>
      <c r="B86" s="50">
        <f>1-PlasticsUse!D28</f>
        <v>1</v>
      </c>
      <c r="C86" s="50">
        <f>PlasticsUse!D28</f>
        <v>0</v>
      </c>
      <c r="D86" s="50">
        <f t="shared" ref="D86:D101" si="43">SUM(B86:C86)</f>
        <v>1</v>
      </c>
      <c r="I86" s="90"/>
    </row>
    <row r="87" spans="1:26" x14ac:dyDescent="0.2">
      <c r="A87" s="40" t="s">
        <v>8</v>
      </c>
      <c r="B87" s="50">
        <f>1-PlasticsUse!D29</f>
        <v>0.90909256195341903</v>
      </c>
      <c r="C87" s="50">
        <f>PlasticsUse!D29</f>
        <v>9.0907438046580968E-2</v>
      </c>
      <c r="D87" s="50">
        <f t="shared" si="43"/>
        <v>1</v>
      </c>
      <c r="I87" s="90"/>
    </row>
    <row r="88" spans="1:26" x14ac:dyDescent="0.2">
      <c r="A88" s="40" t="s">
        <v>19</v>
      </c>
      <c r="B88" s="50">
        <f>1-PlasticsUse!D30</f>
        <v>0.90909256195341903</v>
      </c>
      <c r="C88" s="50">
        <f>PlasticsUse!D30</f>
        <v>9.0907438046580968E-2</v>
      </c>
      <c r="D88" s="50">
        <f t="shared" si="43"/>
        <v>1</v>
      </c>
      <c r="I88" s="90"/>
    </row>
    <row r="89" spans="1:26" x14ac:dyDescent="0.2">
      <c r="A89" s="40" t="s">
        <v>1</v>
      </c>
      <c r="B89" s="50">
        <f>1-PlasticsUse!D31</f>
        <v>0.90909256195341903</v>
      </c>
      <c r="C89" s="50">
        <f>PlasticsUse!D31</f>
        <v>9.0907438046580968E-2</v>
      </c>
      <c r="D89" s="50">
        <f t="shared" si="43"/>
        <v>1</v>
      </c>
      <c r="I89" s="90"/>
    </row>
    <row r="90" spans="1:26" x14ac:dyDescent="0.2">
      <c r="A90" s="40" t="s">
        <v>10</v>
      </c>
      <c r="B90" s="50">
        <f>1-PlasticsUse!D32</f>
        <v>0.90909256195341903</v>
      </c>
      <c r="C90" s="50">
        <f>PlasticsUse!D32</f>
        <v>9.0907438046580968E-2</v>
      </c>
      <c r="D90" s="50">
        <f t="shared" si="43"/>
        <v>1</v>
      </c>
      <c r="I90" s="90"/>
    </row>
    <row r="91" spans="1:26" x14ac:dyDescent="0.2">
      <c r="A91" s="40" t="s">
        <v>11</v>
      </c>
      <c r="B91" s="50">
        <f>1-PlasticsUse!D33</f>
        <v>0.90909256195341903</v>
      </c>
      <c r="C91" s="50">
        <f>PlasticsUse!D33</f>
        <v>9.0907438046580968E-2</v>
      </c>
      <c r="D91" s="50">
        <f t="shared" si="43"/>
        <v>1</v>
      </c>
      <c r="I91" s="90"/>
    </row>
    <row r="92" spans="1:26" x14ac:dyDescent="0.2">
      <c r="A92" s="40" t="s">
        <v>25</v>
      </c>
      <c r="B92" s="50">
        <f>1-PlasticsUse!D34</f>
        <v>0.90909256195341903</v>
      </c>
      <c r="C92" s="50">
        <f>PlasticsUse!D34</f>
        <v>9.0907438046580968E-2</v>
      </c>
      <c r="D92" s="50">
        <f t="shared" si="43"/>
        <v>1</v>
      </c>
      <c r="I92" s="90"/>
    </row>
    <row r="93" spans="1:26" x14ac:dyDescent="0.2">
      <c r="A93" s="40" t="s">
        <v>7</v>
      </c>
      <c r="B93" s="50">
        <f>1-PlasticsUse!D35</f>
        <v>0.90909256195341903</v>
      </c>
      <c r="C93" s="50">
        <f>PlasticsUse!D35</f>
        <v>9.0907438046580968E-2</v>
      </c>
      <c r="D93" s="50">
        <f t="shared" si="43"/>
        <v>1</v>
      </c>
      <c r="I93" s="90"/>
    </row>
    <row r="94" spans="1:26" x14ac:dyDescent="0.2">
      <c r="A94" s="40" t="s">
        <v>2</v>
      </c>
      <c r="B94" s="50">
        <f>1-PlasticsUse!D36</f>
        <v>1</v>
      </c>
      <c r="C94" s="50">
        <f>PlasticsUse!D36</f>
        <v>0</v>
      </c>
      <c r="D94" s="50">
        <f t="shared" si="43"/>
        <v>1</v>
      </c>
      <c r="I94" s="90"/>
    </row>
    <row r="95" spans="1:26" x14ac:dyDescent="0.2">
      <c r="A95" s="40" t="s">
        <v>30</v>
      </c>
      <c r="B95" s="50">
        <f>1-PlasticsUse!D37</f>
        <v>0.83499999999999996</v>
      </c>
      <c r="C95" s="50">
        <f>PlasticsUse!D37</f>
        <v>0.16500000000000001</v>
      </c>
      <c r="D95" s="50">
        <f t="shared" si="43"/>
        <v>1</v>
      </c>
      <c r="J95" s="90"/>
    </row>
    <row r="96" spans="1:26" x14ac:dyDescent="0.2">
      <c r="A96" s="40" t="s">
        <v>31</v>
      </c>
      <c r="B96" s="50">
        <f>1-PlasticsUse!D38</f>
        <v>1</v>
      </c>
      <c r="C96" s="50">
        <f>PlasticsUse!D38</f>
        <v>0</v>
      </c>
      <c r="D96" s="50">
        <f t="shared" si="43"/>
        <v>1</v>
      </c>
      <c r="J96" s="90"/>
    </row>
    <row r="97" spans="1:10" x14ac:dyDescent="0.2">
      <c r="A97" s="40" t="s">
        <v>122</v>
      </c>
      <c r="B97" s="50">
        <f>1-PlasticsUse!D39</f>
        <v>1</v>
      </c>
      <c r="C97" s="50">
        <f>PlasticsUse!D39</f>
        <v>0</v>
      </c>
      <c r="D97" s="50">
        <f t="shared" si="43"/>
        <v>1</v>
      </c>
      <c r="J97" s="90"/>
    </row>
    <row r="98" spans="1:10" x14ac:dyDescent="0.2">
      <c r="A98" s="40" t="s">
        <v>32</v>
      </c>
      <c r="B98" s="50">
        <f>1-PlasticsUse!D40</f>
        <v>0.8</v>
      </c>
      <c r="C98" s="50">
        <f>PlasticsUse!D40</f>
        <v>0.2</v>
      </c>
      <c r="D98" s="50">
        <f t="shared" si="43"/>
        <v>1</v>
      </c>
    </row>
    <row r="99" spans="1:10" x14ac:dyDescent="0.2">
      <c r="A99" s="40" t="s">
        <v>105</v>
      </c>
      <c r="B99" s="50">
        <f>1-PlasticsUse!D41</f>
        <v>0.19399999999999995</v>
      </c>
      <c r="C99" s="50">
        <f>PlasticsUse!D41</f>
        <v>0.80600000000000005</v>
      </c>
      <c r="D99" s="50">
        <f t="shared" si="43"/>
        <v>1</v>
      </c>
    </row>
    <row r="100" spans="1:10" x14ac:dyDescent="0.2">
      <c r="A100" s="40" t="s">
        <v>576</v>
      </c>
      <c r="B100" s="50">
        <f>1-PlasticsUse!D42</f>
        <v>1</v>
      </c>
      <c r="C100" s="50">
        <f>PlasticsUse!D42</f>
        <v>0</v>
      </c>
      <c r="D100" s="50">
        <f t="shared" si="43"/>
        <v>1</v>
      </c>
    </row>
    <row r="101" spans="1:10" x14ac:dyDescent="0.2">
      <c r="A101" s="40" t="s">
        <v>575</v>
      </c>
      <c r="B101" s="50">
        <f>1-PlasticsUse!D43</f>
        <v>1</v>
      </c>
      <c r="C101" s="50">
        <f>PlasticsUse!D43</f>
        <v>0</v>
      </c>
      <c r="D101" s="50">
        <f t="shared" si="43"/>
        <v>1</v>
      </c>
    </row>
    <row r="103" spans="1:10" x14ac:dyDescent="0.2">
      <c r="A103" s="2" t="s">
        <v>381</v>
      </c>
    </row>
    <row r="104" spans="1:10" x14ac:dyDescent="0.2">
      <c r="A104" t="s">
        <v>382</v>
      </c>
    </row>
    <row r="106" spans="1:10" x14ac:dyDescent="0.2">
      <c r="A106" s="40" t="s">
        <v>384</v>
      </c>
      <c r="B106" s="40">
        <v>0.81399999999999995</v>
      </c>
    </row>
    <row r="107" spans="1:10" x14ac:dyDescent="0.2">
      <c r="A107" s="40" t="s">
        <v>383</v>
      </c>
      <c r="B107" s="40">
        <v>0.43</v>
      </c>
    </row>
    <row r="108" spans="1:10" x14ac:dyDescent="0.2">
      <c r="A108" s="40" t="s">
        <v>358</v>
      </c>
      <c r="B108" s="40">
        <f>B106-B107</f>
        <v>0.38399999999999995</v>
      </c>
    </row>
    <row r="110" spans="1:10" x14ac:dyDescent="0.2">
      <c r="A110" s="2"/>
    </row>
    <row r="262" spans="3:7" x14ac:dyDescent="0.2">
      <c r="C262" s="11"/>
      <c r="G262" s="11"/>
    </row>
    <row r="263" spans="3:7" x14ac:dyDescent="0.2">
      <c r="C263" s="11"/>
      <c r="G263" s="11"/>
    </row>
    <row r="264" spans="3:7" x14ac:dyDescent="0.2">
      <c r="C264" s="11"/>
      <c r="G264" s="11"/>
    </row>
    <row r="265" spans="3:7" x14ac:dyDescent="0.2">
      <c r="C265" s="11"/>
      <c r="G265" s="11"/>
    </row>
    <row r="266" spans="3:7" x14ac:dyDescent="0.2">
      <c r="C266" s="11"/>
      <c r="G266" s="11"/>
    </row>
    <row r="267" spans="3:7" x14ac:dyDescent="0.2">
      <c r="C267" s="11"/>
      <c r="G267" s="11"/>
    </row>
    <row r="268" spans="3:7" x14ac:dyDescent="0.2">
      <c r="C268" s="11"/>
      <c r="G268" s="11"/>
    </row>
    <row r="269" spans="3:7" x14ac:dyDescent="0.2">
      <c r="C269" s="11"/>
      <c r="G269" s="11"/>
    </row>
    <row r="270" spans="3:7" x14ac:dyDescent="0.2">
      <c r="C270" s="11"/>
      <c r="G270" s="11"/>
    </row>
    <row r="271" spans="3:7" x14ac:dyDescent="0.2">
      <c r="C271" s="11"/>
      <c r="G271" s="11"/>
    </row>
    <row r="272" spans="3:7" x14ac:dyDescent="0.2">
      <c r="C272" s="11"/>
      <c r="G272" s="11"/>
    </row>
  </sheetData>
  <mergeCells count="5">
    <mergeCell ref="T62:Y62"/>
    <mergeCell ref="G48:I48"/>
    <mergeCell ref="B4:E4"/>
    <mergeCell ref="B23:L23"/>
    <mergeCell ref="J62:Q62"/>
  </mergeCells>
  <hyperlinks>
    <hyperlink ref="A22" r:id="rId1" location="sec0026" xr:uid="{AECBDF1F-94D3-F547-B5BB-9E17D76A5ADB}"/>
    <hyperlink ref="A19" r:id="rId2" xr:uid="{D6545E82-AB7B-4547-A73A-60415B5075FE}"/>
  </hyperlinks>
  <pageMargins left="0.7" right="0.7" top="0.75" bottom="0.75" header="0.3" footer="0.3"/>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38C343-5189-DF4F-8E86-E6EDE416A7C7}">
  <dimension ref="A1:AJ369"/>
  <sheetViews>
    <sheetView topLeftCell="A315" zoomScale="110" zoomScaleNormal="110" workbookViewId="0">
      <pane xSplit="1" topLeftCell="D1" activePane="topRight" state="frozen"/>
      <selection activeCell="A86" sqref="A86"/>
      <selection pane="topRight" activeCell="T347" sqref="T347"/>
    </sheetView>
  </sheetViews>
  <sheetFormatPr baseColWidth="10" defaultRowHeight="16" x14ac:dyDescent="0.2"/>
  <cols>
    <col min="1" max="1" width="17.6640625" customWidth="1"/>
    <col min="2" max="2" width="17.33203125" customWidth="1"/>
    <col min="3" max="3" width="13.83203125" customWidth="1"/>
    <col min="4" max="4" width="15" customWidth="1"/>
    <col min="5" max="6" width="15.33203125" customWidth="1"/>
    <col min="7" max="7" width="16.1640625" customWidth="1"/>
    <col min="8" max="8" width="13.6640625" customWidth="1"/>
    <col min="9" max="9" width="15.1640625" customWidth="1"/>
    <col min="10" max="10" width="15.83203125" customWidth="1"/>
    <col min="11" max="11" width="16.5" customWidth="1"/>
    <col min="13" max="13" width="11.83203125" customWidth="1"/>
    <col min="14" max="14" width="17.33203125" customWidth="1"/>
    <col min="15" max="15" width="14.33203125" customWidth="1"/>
    <col min="18" max="18" width="14" customWidth="1"/>
    <col min="19" max="19" width="14.6640625" customWidth="1"/>
    <col min="20" max="20" width="14" customWidth="1"/>
    <col min="21" max="21" width="13.5" customWidth="1"/>
    <col min="22" max="23" width="13" customWidth="1"/>
  </cols>
  <sheetData>
    <row r="1" spans="1:5" ht="21" x14ac:dyDescent="0.25">
      <c r="A1" s="19" t="s">
        <v>209</v>
      </c>
    </row>
    <row r="3" spans="1:5" ht="19" x14ac:dyDescent="0.25">
      <c r="A3" s="12" t="s">
        <v>355</v>
      </c>
    </row>
    <row r="5" spans="1:5" x14ac:dyDescent="0.2">
      <c r="A5" s="2" t="s">
        <v>276</v>
      </c>
      <c r="B5" t="str">
        <f>'Rec. Max'!B4</f>
        <v>By consumption category</v>
      </c>
    </row>
    <row r="6" spans="1:5" x14ac:dyDescent="0.2">
      <c r="A6" s="2" t="s">
        <v>927</v>
      </c>
    </row>
    <row r="7" spans="1:5" x14ac:dyDescent="0.2">
      <c r="B7" s="185" t="s">
        <v>273</v>
      </c>
      <c r="C7" s="185"/>
      <c r="D7" s="185"/>
    </row>
    <row r="8" spans="1:5" x14ac:dyDescent="0.2">
      <c r="A8" s="39"/>
      <c r="B8" s="39" t="s">
        <v>228</v>
      </c>
      <c r="C8" s="39" t="s">
        <v>237</v>
      </c>
      <c r="D8" s="39" t="s">
        <v>236</v>
      </c>
      <c r="E8" s="2"/>
    </row>
    <row r="9" spans="1:5" x14ac:dyDescent="0.2">
      <c r="A9" s="39" t="s">
        <v>277</v>
      </c>
      <c r="B9" s="50"/>
      <c r="C9" s="50">
        <v>0.2</v>
      </c>
      <c r="D9" s="50">
        <v>0.3</v>
      </c>
      <c r="E9" s="71"/>
    </row>
    <row r="10" spans="1:5" x14ac:dyDescent="0.2">
      <c r="A10" s="39" t="s">
        <v>76</v>
      </c>
      <c r="B10" s="193"/>
      <c r="C10" s="194"/>
      <c r="D10" s="195"/>
    </row>
    <row r="11" spans="1:5" x14ac:dyDescent="0.2">
      <c r="A11" s="40" t="s">
        <v>82</v>
      </c>
      <c r="B11" s="57">
        <v>0.67</v>
      </c>
      <c r="C11" s="57">
        <f>B11+C$9</f>
        <v>0.87000000000000011</v>
      </c>
      <c r="D11" s="57">
        <f>C11+D$9</f>
        <v>1.1700000000000002</v>
      </c>
    </row>
    <row r="12" spans="1:5" x14ac:dyDescent="0.2">
      <c r="A12" s="40" t="s">
        <v>127</v>
      </c>
      <c r="B12" s="57">
        <v>0.2</v>
      </c>
      <c r="C12" s="57">
        <f t="shared" ref="C12:D12" si="0">B12+C$9</f>
        <v>0.4</v>
      </c>
      <c r="D12" s="57">
        <f t="shared" si="0"/>
        <v>0.7</v>
      </c>
    </row>
    <row r="13" spans="1:5" x14ac:dyDescent="0.2">
      <c r="A13" s="40" t="s">
        <v>8</v>
      </c>
      <c r="B13" s="57">
        <v>0.3</v>
      </c>
      <c r="C13" s="57">
        <f t="shared" ref="C13:D13" si="1">B13+C$9</f>
        <v>0.5</v>
      </c>
      <c r="D13" s="57">
        <f t="shared" si="1"/>
        <v>0.8</v>
      </c>
    </row>
    <row r="14" spans="1:5" x14ac:dyDescent="0.2">
      <c r="A14" s="40" t="s">
        <v>19</v>
      </c>
      <c r="B14" s="57">
        <v>0.32</v>
      </c>
      <c r="C14" s="57">
        <f t="shared" ref="C14:D14" si="2">B14+C$9</f>
        <v>0.52</v>
      </c>
      <c r="D14" s="57">
        <f t="shared" si="2"/>
        <v>0.82000000000000006</v>
      </c>
    </row>
    <row r="15" spans="1:5" x14ac:dyDescent="0.2">
      <c r="A15" s="40" t="s">
        <v>1</v>
      </c>
      <c r="B15" s="57">
        <v>0.37</v>
      </c>
      <c r="C15" s="57">
        <f t="shared" ref="C15:D15" si="3">B15+C$9</f>
        <v>0.57000000000000006</v>
      </c>
      <c r="D15" s="57">
        <f t="shared" si="3"/>
        <v>0.87000000000000011</v>
      </c>
    </row>
    <row r="16" spans="1:5" x14ac:dyDescent="0.2">
      <c r="A16" s="40" t="s">
        <v>10</v>
      </c>
      <c r="B16" s="57">
        <v>0.51</v>
      </c>
      <c r="C16" s="57">
        <f t="shared" ref="C16:D16" si="4">B16+C$9</f>
        <v>0.71</v>
      </c>
      <c r="D16" s="57">
        <f t="shared" si="4"/>
        <v>1.01</v>
      </c>
    </row>
    <row r="17" spans="1:8" x14ac:dyDescent="0.2">
      <c r="A17" s="40" t="s">
        <v>11</v>
      </c>
      <c r="B17" s="57">
        <v>0.6</v>
      </c>
      <c r="C17" s="57">
        <f t="shared" ref="C17:D17" si="5">B17+C$9</f>
        <v>0.8</v>
      </c>
      <c r="D17" s="57">
        <f t="shared" si="5"/>
        <v>1.1000000000000001</v>
      </c>
    </row>
    <row r="18" spans="1:8" x14ac:dyDescent="0.2">
      <c r="A18" s="40" t="s">
        <v>25</v>
      </c>
      <c r="B18" s="57">
        <v>0.63</v>
      </c>
      <c r="C18" s="57">
        <f t="shared" ref="C18:D18" si="6">B18+C$9</f>
        <v>0.83000000000000007</v>
      </c>
      <c r="D18" s="57">
        <f t="shared" si="6"/>
        <v>1.1300000000000001</v>
      </c>
    </row>
    <row r="19" spans="1:8" x14ac:dyDescent="0.2">
      <c r="A19" s="40" t="s">
        <v>7</v>
      </c>
      <c r="B19" s="57">
        <v>0.52</v>
      </c>
      <c r="C19" s="57">
        <f t="shared" ref="C19:D19" si="7">B19+C$9</f>
        <v>0.72</v>
      </c>
      <c r="D19" s="57">
        <f t="shared" si="7"/>
        <v>1.02</v>
      </c>
    </row>
    <row r="20" spans="1:8" x14ac:dyDescent="0.2">
      <c r="A20" s="40" t="s">
        <v>2</v>
      </c>
      <c r="B20" s="57">
        <v>0.28000000000000003</v>
      </c>
      <c r="C20" s="57">
        <f t="shared" ref="C20:D20" si="8">B20+C$9</f>
        <v>0.48000000000000004</v>
      </c>
      <c r="D20" s="57">
        <f t="shared" si="8"/>
        <v>0.78</v>
      </c>
    </row>
    <row r="21" spans="1:8" x14ac:dyDescent="0.2">
      <c r="A21" s="40" t="s">
        <v>30</v>
      </c>
      <c r="B21" s="57">
        <v>0.2</v>
      </c>
      <c r="C21" s="57">
        <f t="shared" ref="C21:D21" si="9">B21+C$9</f>
        <v>0.4</v>
      </c>
      <c r="D21" s="57">
        <f t="shared" si="9"/>
        <v>0.7</v>
      </c>
    </row>
    <row r="22" spans="1:8" x14ac:dyDescent="0.2">
      <c r="A22" s="40" t="s">
        <v>31</v>
      </c>
      <c r="B22" s="57">
        <v>0.77</v>
      </c>
      <c r="C22" s="57">
        <f t="shared" ref="C22:D22" si="10">B22+C$9</f>
        <v>0.97</v>
      </c>
      <c r="D22" s="57">
        <f t="shared" si="10"/>
        <v>1.27</v>
      </c>
    </row>
    <row r="23" spans="1:8" x14ac:dyDescent="0.2">
      <c r="A23" s="40" t="s">
        <v>122</v>
      </c>
      <c r="B23" s="57">
        <v>0.2</v>
      </c>
      <c r="C23" s="57">
        <f t="shared" ref="C23:D23" si="11">B23+C$9</f>
        <v>0.4</v>
      </c>
      <c r="D23" s="57">
        <f t="shared" si="11"/>
        <v>0.7</v>
      </c>
    </row>
    <row r="24" spans="1:8" x14ac:dyDescent="0.2">
      <c r="A24" s="40" t="s">
        <v>32</v>
      </c>
      <c r="B24" s="57">
        <v>0.61</v>
      </c>
      <c r="C24" s="57">
        <f t="shared" ref="C24:D24" si="12">B24+C$9</f>
        <v>0.81</v>
      </c>
      <c r="D24" s="57">
        <f t="shared" si="12"/>
        <v>1.1100000000000001</v>
      </c>
    </row>
    <row r="25" spans="1:8" x14ac:dyDescent="0.2">
      <c r="A25" s="40" t="s">
        <v>105</v>
      </c>
      <c r="B25" s="57">
        <v>0.52</v>
      </c>
      <c r="C25" s="57">
        <f t="shared" ref="C25:D25" si="13">B25+C$9</f>
        <v>0.72</v>
      </c>
      <c r="D25" s="57">
        <f t="shared" si="13"/>
        <v>1.02</v>
      </c>
    </row>
    <row r="26" spans="1:8" x14ac:dyDescent="0.2">
      <c r="A26" s="40" t="s">
        <v>576</v>
      </c>
      <c r="B26" s="57">
        <f>B12</f>
        <v>0.2</v>
      </c>
      <c r="C26" s="57">
        <f t="shared" ref="C26:D26" si="14">C12</f>
        <v>0.4</v>
      </c>
      <c r="D26" s="57">
        <f t="shared" si="14"/>
        <v>0.7</v>
      </c>
    </row>
    <row r="27" spans="1:8" x14ac:dyDescent="0.2">
      <c r="A27" s="40" t="s">
        <v>575</v>
      </c>
      <c r="B27" s="57">
        <f>B12</f>
        <v>0.2</v>
      </c>
      <c r="C27" s="57">
        <f t="shared" ref="C27:D27" si="15">C12</f>
        <v>0.4</v>
      </c>
      <c r="D27" s="57">
        <f t="shared" si="15"/>
        <v>0.7</v>
      </c>
    </row>
    <row r="29" spans="1:8" s="2" customFormat="1" ht="19" x14ac:dyDescent="0.25">
      <c r="A29" s="12" t="s">
        <v>354</v>
      </c>
    </row>
    <row r="31" spans="1:8" x14ac:dyDescent="0.2">
      <c r="C31" s="193" t="s">
        <v>351</v>
      </c>
      <c r="D31" s="194"/>
      <c r="E31" s="195"/>
      <c r="F31" s="185" t="s">
        <v>353</v>
      </c>
      <c r="G31" s="185"/>
      <c r="H31" s="185"/>
    </row>
    <row r="32" spans="1:8" ht="34" x14ac:dyDescent="0.2">
      <c r="A32" s="48" t="s">
        <v>76</v>
      </c>
      <c r="B32" s="48" t="s">
        <v>352</v>
      </c>
      <c r="C32" s="48" t="s">
        <v>228</v>
      </c>
      <c r="D32" s="48" t="s">
        <v>229</v>
      </c>
      <c r="E32" s="48" t="s">
        <v>230</v>
      </c>
      <c r="F32" s="48" t="s">
        <v>228</v>
      </c>
      <c r="G32" s="48" t="s">
        <v>229</v>
      </c>
      <c r="H32" s="48" t="s">
        <v>230</v>
      </c>
    </row>
    <row r="33" spans="1:36" x14ac:dyDescent="0.2">
      <c r="A33" s="40" t="s">
        <v>82</v>
      </c>
      <c r="B33" s="41">
        <f>EndOfLife!P64+EndOfLife!V64</f>
        <v>15.699549312962873</v>
      </c>
      <c r="C33" s="41">
        <f>EndOfLife!$J64*Q94</f>
        <v>2.0366908892186042</v>
      </c>
      <c r="D33" s="41">
        <f>EndOfLife!$J64*Q116</f>
        <v>0</v>
      </c>
      <c r="E33" s="41">
        <f>EndOfLife!$J64*Q137</f>
        <v>0</v>
      </c>
      <c r="F33" s="41">
        <f>EndOfLife!$J64*Q159</f>
        <v>0</v>
      </c>
      <c r="G33" s="41">
        <f>EndOfLife!$J64*Q180</f>
        <v>0</v>
      </c>
      <c r="H33" s="41">
        <f>EndOfLife!$J64*Q200</f>
        <v>0</v>
      </c>
      <c r="T33" s="2"/>
      <c r="U33" s="2"/>
      <c r="V33" s="2" t="s">
        <v>82</v>
      </c>
      <c r="W33" s="2" t="s">
        <v>127</v>
      </c>
      <c r="X33" s="2" t="s">
        <v>8</v>
      </c>
      <c r="Y33" s="2" t="s">
        <v>19</v>
      </c>
      <c r="Z33" s="2" t="s">
        <v>1</v>
      </c>
      <c r="AA33" s="2" t="s">
        <v>10</v>
      </c>
      <c r="AB33" s="2" t="s">
        <v>11</v>
      </c>
      <c r="AC33" s="2" t="s">
        <v>25</v>
      </c>
      <c r="AD33" s="2" t="s">
        <v>7</v>
      </c>
      <c r="AE33" s="2" t="s">
        <v>2</v>
      </c>
      <c r="AF33" s="2" t="s">
        <v>30</v>
      </c>
      <c r="AG33" s="2" t="s">
        <v>31</v>
      </c>
      <c r="AH33" s="2" t="s">
        <v>122</v>
      </c>
      <c r="AI33" s="2" t="s">
        <v>32</v>
      </c>
      <c r="AJ33" s="2" t="s">
        <v>105</v>
      </c>
    </row>
    <row r="34" spans="1:36" x14ac:dyDescent="0.2">
      <c r="A34" s="40" t="s">
        <v>127</v>
      </c>
      <c r="B34" s="41">
        <f>EndOfLife!P65+EndOfLife!V65</f>
        <v>1.5314589040056534</v>
      </c>
      <c r="C34" s="41">
        <f>EndOfLife!$J65*Q95</f>
        <v>1.7104148645049755</v>
      </c>
      <c r="D34" s="41">
        <f>EndOfLife!$J65*Q117</f>
        <v>1.1402765763366502</v>
      </c>
      <c r="E34" s="41">
        <f>EndOfLife!$J65*Q138</f>
        <v>0</v>
      </c>
      <c r="F34" s="41">
        <f>EndOfLife!$J65*Q160</f>
        <v>0.57013828816832501</v>
      </c>
      <c r="G34" s="41">
        <f>EndOfLife!$J65*Q181</f>
        <v>0.19004609605610812</v>
      </c>
      <c r="H34" s="41">
        <f>EndOfLife!$J65*Q201</f>
        <v>0</v>
      </c>
      <c r="T34" s="2" t="s">
        <v>210</v>
      </c>
      <c r="U34" s="2"/>
    </row>
    <row r="35" spans="1:36" x14ac:dyDescent="0.2">
      <c r="A35" s="40" t="s">
        <v>8</v>
      </c>
      <c r="B35" s="41">
        <f>EndOfLife!P66+EndOfLife!V66</f>
        <v>1.4234163603198624</v>
      </c>
      <c r="C35" s="41">
        <f>EndOfLife!$J66*Q96</f>
        <v>0.87139715198410606</v>
      </c>
      <c r="D35" s="41">
        <f>EndOfLife!$J66*Q118</f>
        <v>0.19364381155202354</v>
      </c>
      <c r="E35" s="41">
        <f>EndOfLife!$J66*Q139</f>
        <v>0</v>
      </c>
      <c r="F35" s="41">
        <f>EndOfLife!$J66*Q161</f>
        <v>0.67775334043208257</v>
      </c>
      <c r="G35" s="41">
        <f>EndOfLife!$J66*Q182</f>
        <v>0.19364381155202334</v>
      </c>
      <c r="H35" s="41">
        <f>EndOfLife!$J66*Q202</f>
        <v>0</v>
      </c>
      <c r="T35" s="2"/>
      <c r="U35" s="2" t="s">
        <v>238</v>
      </c>
      <c r="V35" s="11">
        <f>INDEX($B$33:$B$47,MATCH(V$33,$A$33:$A$47,0),1)</f>
        <v>15.699549312962873</v>
      </c>
      <c r="W35" s="11">
        <f t="shared" ref="W35:AJ35" si="16">INDEX($B$33:$B$47,MATCH(W$33,$A$33:$A$47,0),1)</f>
        <v>1.5314589040056534</v>
      </c>
      <c r="X35" s="11">
        <f t="shared" si="16"/>
        <v>1.4234163603198624</v>
      </c>
      <c r="Y35" s="11">
        <f t="shared" si="16"/>
        <v>1.2351271160029842</v>
      </c>
      <c r="Z35" s="11">
        <f t="shared" si="16"/>
        <v>1.6348107387684552</v>
      </c>
      <c r="AA35" s="11">
        <f t="shared" si="16"/>
        <v>1.4753242234518262</v>
      </c>
      <c r="AB35" s="11">
        <f t="shared" si="16"/>
        <v>1.3171386528375322</v>
      </c>
      <c r="AC35" s="11">
        <f t="shared" si="16"/>
        <v>1.3525545204591718</v>
      </c>
      <c r="AD35" s="11">
        <f t="shared" si="16"/>
        <v>1.4328079188353258</v>
      </c>
      <c r="AE35" s="11">
        <f t="shared" si="16"/>
        <v>2.6502770798950683</v>
      </c>
      <c r="AF35" s="11">
        <f t="shared" si="16"/>
        <v>1.0583449275972416</v>
      </c>
      <c r="AG35" s="11">
        <f t="shared" si="16"/>
        <v>0.69076283180579534</v>
      </c>
      <c r="AH35" s="11">
        <f t="shared" si="16"/>
        <v>0.54101126897570861</v>
      </c>
      <c r="AI35" s="11">
        <f t="shared" si="16"/>
        <v>2.8511114742513297</v>
      </c>
      <c r="AJ35" s="11">
        <f t="shared" si="16"/>
        <v>0.30528040243506777</v>
      </c>
    </row>
    <row r="36" spans="1:36" x14ac:dyDescent="0.2">
      <c r="A36" s="40" t="s">
        <v>19</v>
      </c>
      <c r="B36" s="41">
        <f>EndOfLife!P67+EndOfLife!V67</f>
        <v>1.2351271160029842</v>
      </c>
      <c r="C36" s="41">
        <f>EndOfLife!$J67*Q97</f>
        <v>0.75612890312816539</v>
      </c>
      <c r="D36" s="41">
        <f>EndOfLife!$J67*Q119</f>
        <v>0.16802864513959229</v>
      </c>
      <c r="E36" s="41">
        <f>EndOfLife!$J67*Q140</f>
        <v>0</v>
      </c>
      <c r="F36" s="41">
        <f>EndOfLife!$J67*Q162</f>
        <v>0.58810025798857313</v>
      </c>
      <c r="G36" s="41">
        <f>EndOfLife!$J67*Q183</f>
        <v>0.16802864513959209</v>
      </c>
      <c r="H36" s="41">
        <f>EndOfLife!$J67*Q203</f>
        <v>0</v>
      </c>
      <c r="T36" s="2"/>
      <c r="U36" s="2"/>
    </row>
    <row r="37" spans="1:36" x14ac:dyDescent="0.2">
      <c r="A37" s="40" t="s">
        <v>1</v>
      </c>
      <c r="B37" s="41">
        <f>EndOfLife!P68+EndOfLife!V68</f>
        <v>1.6348107387684552</v>
      </c>
      <c r="C37" s="41">
        <f>EndOfLife!$J68*Q98</f>
        <v>0</v>
      </c>
      <c r="D37" s="41">
        <f>EndOfLife!$J68*Q120</f>
        <v>0</v>
      </c>
      <c r="E37" s="41">
        <f>EndOfLife!$J68*Q141</f>
        <v>0</v>
      </c>
      <c r="F37" s="41">
        <f>EndOfLife!$J68*Q163</f>
        <v>0</v>
      </c>
      <c r="G37" s="41">
        <f>EndOfLife!$J68*Q184</f>
        <v>0</v>
      </c>
      <c r="H37" s="41">
        <f>EndOfLife!$J68*Q204</f>
        <v>0</v>
      </c>
      <c r="T37" s="2" t="s">
        <v>239</v>
      </c>
      <c r="U37" s="2" t="s">
        <v>235</v>
      </c>
      <c r="V37" s="11">
        <f t="shared" ref="V37:AJ41" si="17">INDEX($B$57:$E$71,MATCH(V$33,$A$33:$A$47,0),MATCH($U37,$B$56:$E$56,0))</f>
        <v>1.4605624041391865</v>
      </c>
      <c r="W37" s="11">
        <f t="shared" si="17"/>
        <v>0.13628684864371868</v>
      </c>
      <c r="X37" s="11">
        <f t="shared" si="17"/>
        <v>9.0143106420287389E-2</v>
      </c>
      <c r="Y37" s="11">
        <f t="shared" si="17"/>
        <v>7.8218993517413515E-2</v>
      </c>
      <c r="Z37" s="11">
        <f t="shared" si="17"/>
        <v>0.18426848892856054</v>
      </c>
      <c r="AA37" s="11">
        <f t="shared" si="17"/>
        <v>0</v>
      </c>
      <c r="AB37" s="11">
        <f t="shared" si="17"/>
        <v>1.8055670057129148E-2</v>
      </c>
      <c r="AC37" s="11">
        <f t="shared" si="17"/>
        <v>1.8541159735217094E-2</v>
      </c>
      <c r="AD37" s="11">
        <f t="shared" si="17"/>
        <v>0</v>
      </c>
      <c r="AE37" s="11">
        <f t="shared" si="17"/>
        <v>0.3996841989269615</v>
      </c>
      <c r="AF37" s="11">
        <f t="shared" si="17"/>
        <v>0</v>
      </c>
      <c r="AG37" s="11">
        <f t="shared" si="17"/>
        <v>0</v>
      </c>
      <c r="AH37" s="11">
        <f t="shared" si="17"/>
        <v>0</v>
      </c>
      <c r="AI37" s="11">
        <f t="shared" si="17"/>
        <v>0</v>
      </c>
      <c r="AJ37" s="11">
        <f t="shared" si="17"/>
        <v>0.27473425393195783</v>
      </c>
    </row>
    <row r="38" spans="1:36" x14ac:dyDescent="0.2">
      <c r="A38" s="40" t="s">
        <v>10</v>
      </c>
      <c r="B38" s="41">
        <f>EndOfLife!P69+EndOfLife!V69</f>
        <v>1.4753242234518262</v>
      </c>
      <c r="C38" s="41">
        <f>EndOfLife!$J69*Q99</f>
        <v>0.36150292806583351</v>
      </c>
      <c r="D38" s="41">
        <f>EndOfLife!$J69*Q121</f>
        <v>0.18075146403291675</v>
      </c>
      <c r="E38" s="41">
        <f>EndOfLife!$J69*Q142</f>
        <v>0</v>
      </c>
      <c r="F38" s="41">
        <f>EndOfLife!$J69*Q164</f>
        <v>0.27112719604937524</v>
      </c>
      <c r="G38" s="41">
        <f>EndOfLife!$J69*Q185</f>
        <v>0</v>
      </c>
      <c r="H38" s="41">
        <f>EndOfLife!$J69*Q205</f>
        <v>0</v>
      </c>
      <c r="T38" s="2"/>
      <c r="U38" s="2" t="s">
        <v>227</v>
      </c>
      <c r="V38" s="11" t="e">
        <f t="shared" si="17"/>
        <v>#N/A</v>
      </c>
      <c r="W38" s="11" t="e">
        <f t="shared" si="17"/>
        <v>#N/A</v>
      </c>
      <c r="X38" s="11" t="e">
        <f t="shared" si="17"/>
        <v>#N/A</v>
      </c>
      <c r="Y38" s="11" t="e">
        <f t="shared" si="17"/>
        <v>#N/A</v>
      </c>
      <c r="Z38" s="11" t="e">
        <f t="shared" si="17"/>
        <v>#N/A</v>
      </c>
      <c r="AA38" s="11" t="e">
        <f t="shared" si="17"/>
        <v>#N/A</v>
      </c>
      <c r="AB38" s="11" t="e">
        <f t="shared" si="17"/>
        <v>#N/A</v>
      </c>
      <c r="AC38" s="11" t="e">
        <f t="shared" si="17"/>
        <v>#N/A</v>
      </c>
      <c r="AD38" s="11" t="e">
        <f t="shared" si="17"/>
        <v>#N/A</v>
      </c>
      <c r="AE38" s="11" t="e">
        <f t="shared" si="17"/>
        <v>#N/A</v>
      </c>
      <c r="AF38" s="11" t="e">
        <f t="shared" si="17"/>
        <v>#N/A</v>
      </c>
      <c r="AG38" s="11" t="e">
        <f t="shared" si="17"/>
        <v>#N/A</v>
      </c>
      <c r="AH38" s="11" t="e">
        <f t="shared" si="17"/>
        <v>#N/A</v>
      </c>
      <c r="AI38" s="11" t="e">
        <f t="shared" si="17"/>
        <v>#N/A</v>
      </c>
      <c r="AJ38" s="11" t="e">
        <f t="shared" si="17"/>
        <v>#N/A</v>
      </c>
    </row>
    <row r="39" spans="1:36" x14ac:dyDescent="0.2">
      <c r="A39" s="40" t="s">
        <v>11</v>
      </c>
      <c r="B39" s="41">
        <f>EndOfLife!P70+EndOfLife!V70</f>
        <v>1.3171386528375322</v>
      </c>
      <c r="C39" s="41">
        <f>EndOfLife!$J70*Q100</f>
        <v>0.33724851550185564</v>
      </c>
      <c r="D39" s="41">
        <f>EndOfLife!$J70*Q122</f>
        <v>0.16862425775092782</v>
      </c>
      <c r="E39" s="41">
        <f>EndOfLife!$J70*Q143</f>
        <v>0</v>
      </c>
      <c r="F39" s="41">
        <f>EndOfLife!$J70*Q165</f>
        <v>0.25293638662639184</v>
      </c>
      <c r="G39" s="41">
        <f>EndOfLife!$J70*Q186</f>
        <v>0</v>
      </c>
      <c r="H39" s="41">
        <f>EndOfLife!$J70*Q206</f>
        <v>0</v>
      </c>
      <c r="T39" s="2"/>
      <c r="U39" s="2" t="s">
        <v>228</v>
      </c>
      <c r="V39" s="11">
        <f t="shared" si="17"/>
        <v>16.293527113748819</v>
      </c>
      <c r="W39" s="11">
        <f t="shared" si="17"/>
        <v>0</v>
      </c>
      <c r="X39" s="11">
        <f t="shared" si="17"/>
        <v>0.29046571732803539</v>
      </c>
      <c r="Y39" s="11">
        <f t="shared" si="17"/>
        <v>0.2520429677093885</v>
      </c>
      <c r="Z39" s="11">
        <f t="shared" si="17"/>
        <v>2.1148190559321778</v>
      </c>
      <c r="AA39" s="11">
        <f t="shared" si="17"/>
        <v>0.72300585613166712</v>
      </c>
      <c r="AB39" s="11">
        <f t="shared" si="17"/>
        <v>0.67449703100371139</v>
      </c>
      <c r="AC39" s="11">
        <f t="shared" si="17"/>
        <v>0.69263323671732724</v>
      </c>
      <c r="AD39" s="11">
        <f t="shared" si="17"/>
        <v>8.8592339671642623E-2</v>
      </c>
      <c r="AE39" s="11">
        <f t="shared" si="17"/>
        <v>3.8138937580082017</v>
      </c>
      <c r="AF39" s="11">
        <f t="shared" si="17"/>
        <v>0.23107837455841429</v>
      </c>
      <c r="AG39" s="11">
        <f t="shared" si="17"/>
        <v>0.78467335397456228</v>
      </c>
      <c r="AH39" s="11">
        <f t="shared" si="17"/>
        <v>0.472496258612078</v>
      </c>
      <c r="AI39" s="11">
        <f t="shared" si="17"/>
        <v>2.7824029245541935</v>
      </c>
      <c r="AJ39" s="11">
        <f t="shared" si="17"/>
        <v>0.71900442541901188</v>
      </c>
    </row>
    <row r="40" spans="1:36" x14ac:dyDescent="0.2">
      <c r="A40" s="40" t="s">
        <v>25</v>
      </c>
      <c r="B40" s="41">
        <f>EndOfLife!P71+EndOfLife!V71</f>
        <v>1.3525545204591718</v>
      </c>
      <c r="C40" s="41">
        <f>EndOfLife!$J71*Q101</f>
        <v>0.34631661835866362</v>
      </c>
      <c r="D40" s="41">
        <f>EndOfLife!$J71*Q123</f>
        <v>0.17315830917933181</v>
      </c>
      <c r="E40" s="41">
        <f>EndOfLife!$J71*Q144</f>
        <v>0</v>
      </c>
      <c r="F40" s="41">
        <f>EndOfLife!$J71*Q166</f>
        <v>0.25973746376899781</v>
      </c>
      <c r="G40" s="41">
        <f>EndOfLife!$J71*Q187</f>
        <v>0</v>
      </c>
      <c r="H40" s="41">
        <f>EndOfLife!$J71*Q207</f>
        <v>0</v>
      </c>
      <c r="T40" s="2"/>
      <c r="U40" s="2" t="s">
        <v>237</v>
      </c>
      <c r="V40" s="11">
        <f t="shared" si="17"/>
        <v>20.366908892186029</v>
      </c>
      <c r="W40" s="11">
        <f t="shared" si="17"/>
        <v>0</v>
      </c>
      <c r="X40" s="11">
        <f t="shared" si="17"/>
        <v>0.38728762310404719</v>
      </c>
      <c r="Y40" s="11">
        <f t="shared" si="17"/>
        <v>0.33605729027918468</v>
      </c>
      <c r="Z40" s="11">
        <f t="shared" si="17"/>
        <v>2.1148190559321778</v>
      </c>
      <c r="AA40" s="11">
        <f t="shared" si="17"/>
        <v>1.0845087841975007</v>
      </c>
      <c r="AB40" s="11">
        <f t="shared" si="17"/>
        <v>1.0117455465055671</v>
      </c>
      <c r="AC40" s="11">
        <f t="shared" si="17"/>
        <v>1.038949855075991</v>
      </c>
      <c r="AD40" s="11">
        <f t="shared" si="17"/>
        <v>0.88592339671642617</v>
      </c>
      <c r="AE40" s="11">
        <f t="shared" si="17"/>
        <v>3.8138937580082017</v>
      </c>
      <c r="AF40" s="11">
        <f t="shared" si="17"/>
        <v>0.69323512367524287</v>
      </c>
      <c r="AG40" s="11">
        <f t="shared" si="17"/>
        <v>0.686589184727742</v>
      </c>
      <c r="AH40" s="11">
        <f t="shared" si="17"/>
        <v>0.53155829093858775</v>
      </c>
      <c r="AI40" s="11">
        <f t="shared" si="17"/>
        <v>2.782402924554193</v>
      </c>
      <c r="AJ40" s="11">
        <f t="shared" si="17"/>
        <v>0.71900442541901188</v>
      </c>
    </row>
    <row r="41" spans="1:36" x14ac:dyDescent="0.2">
      <c r="A41" s="40" t="s">
        <v>7</v>
      </c>
      <c r="B41" s="41">
        <f>EndOfLife!P72+EndOfLife!V72</f>
        <v>1.4328079188353258</v>
      </c>
      <c r="C41" s="41">
        <f>EndOfLife!$J72*Q102</f>
        <v>1.6832544537612097</v>
      </c>
      <c r="D41" s="41">
        <f>EndOfLife!$J72*Q124</f>
        <v>0.88592339671642617</v>
      </c>
      <c r="E41" s="41">
        <f>EndOfLife!$J72*Q145</f>
        <v>0</v>
      </c>
      <c r="F41" s="41">
        <f>EndOfLife!$J72*Q167</f>
        <v>0.88592339671642617</v>
      </c>
      <c r="G41" s="41">
        <f>EndOfLife!$J72*Q188</f>
        <v>0.62014637770149827</v>
      </c>
      <c r="H41" s="41">
        <f>EndOfLife!$J72*Q208</f>
        <v>0</v>
      </c>
      <c r="T41" s="2"/>
      <c r="U41" s="2" t="s">
        <v>236</v>
      </c>
      <c r="V41" s="11">
        <f t="shared" si="17"/>
        <v>20.366908892186029</v>
      </c>
      <c r="W41" s="11">
        <f t="shared" si="17"/>
        <v>0</v>
      </c>
      <c r="X41" s="11">
        <f t="shared" si="17"/>
        <v>0.48410952888005898</v>
      </c>
      <c r="Y41" s="11">
        <f t="shared" si="17"/>
        <v>0.42007161284898081</v>
      </c>
      <c r="Z41" s="11">
        <f t="shared" si="17"/>
        <v>2.1148190559321778</v>
      </c>
      <c r="AA41" s="11">
        <f t="shared" si="17"/>
        <v>1.1748845162139592</v>
      </c>
      <c r="AB41" s="11">
        <f t="shared" si="17"/>
        <v>1.0960576753810312</v>
      </c>
      <c r="AC41" s="11">
        <f t="shared" si="17"/>
        <v>1.1255290096656569</v>
      </c>
      <c r="AD41" s="11">
        <f t="shared" si="17"/>
        <v>1.7718467934328523</v>
      </c>
      <c r="AE41" s="11">
        <f t="shared" si="17"/>
        <v>3.8138937580082017</v>
      </c>
      <c r="AF41" s="11">
        <f t="shared" si="17"/>
        <v>1.1553918727920711</v>
      </c>
      <c r="AG41" s="11">
        <f t="shared" si="17"/>
        <v>0.98084169246820285</v>
      </c>
      <c r="AH41" s="11">
        <f t="shared" si="17"/>
        <v>0.53155829093858775</v>
      </c>
      <c r="AI41" s="11">
        <f t="shared" si="17"/>
        <v>3.4780036556927416</v>
      </c>
      <c r="AJ41" s="11">
        <f t="shared" si="17"/>
        <v>0.71900442541901188</v>
      </c>
    </row>
    <row r="42" spans="1:36" x14ac:dyDescent="0.2">
      <c r="A42" s="40" t="s">
        <v>2</v>
      </c>
      <c r="B42" s="41">
        <f>EndOfLife!P73+EndOfLife!V73</f>
        <v>2.6502770798950683</v>
      </c>
      <c r="C42" s="41">
        <f>EndOfLife!$J73*Q103</f>
        <v>0</v>
      </c>
      <c r="D42" s="41">
        <f>EndOfLife!$J73*Q125</f>
        <v>0</v>
      </c>
      <c r="E42" s="41">
        <f>EndOfLife!$J73*Q146</f>
        <v>0</v>
      </c>
      <c r="F42" s="41">
        <f>EndOfLife!$J73*Q168</f>
        <v>0</v>
      </c>
      <c r="G42" s="41">
        <f>EndOfLife!$J73*Q189</f>
        <v>0</v>
      </c>
      <c r="H42" s="41">
        <f>EndOfLife!$J73*Q209</f>
        <v>0</v>
      </c>
    </row>
    <row r="43" spans="1:36" x14ac:dyDescent="0.2">
      <c r="A43" s="40" t="s">
        <v>30</v>
      </c>
      <c r="B43" s="41">
        <f>EndOfLife!P74+EndOfLife!V74</f>
        <v>1.0583449275972416</v>
      </c>
      <c r="C43" s="41">
        <f>EndOfLife!$J74*Q104</f>
        <v>0.80877431095444985</v>
      </c>
      <c r="D43" s="41">
        <f>EndOfLife!$J74*Q126</f>
        <v>0.40438715547722481</v>
      </c>
      <c r="E43" s="41">
        <f>EndOfLife!$J74*Q147</f>
        <v>0</v>
      </c>
      <c r="F43" s="41">
        <f>EndOfLife!$J74*Q169</f>
        <v>0.28884796819801783</v>
      </c>
      <c r="G43" s="41">
        <f>EndOfLife!$J74*Q190</f>
        <v>0</v>
      </c>
      <c r="H43" s="41">
        <f>EndOfLife!$J74*Q210</f>
        <v>0</v>
      </c>
    </row>
    <row r="44" spans="1:36" x14ac:dyDescent="0.2">
      <c r="A44" s="40" t="s">
        <v>31</v>
      </c>
      <c r="B44" s="41">
        <f>EndOfLife!P75+EndOfLife!V75</f>
        <v>0.69076283180579534</v>
      </c>
      <c r="C44" s="41">
        <f>EndOfLife!$J75*Q105</f>
        <v>0.19616833849364052</v>
      </c>
      <c r="D44" s="41">
        <f>EndOfLife!$J75*Q127</f>
        <v>0.19616833849364063</v>
      </c>
      <c r="E44" s="41">
        <f>EndOfLife!$J75*Q148</f>
        <v>0</v>
      </c>
      <c r="F44" s="41">
        <f>EndOfLife!$J75*Q170</f>
        <v>0.14712625387023046</v>
      </c>
      <c r="G44" s="41">
        <f>EndOfLife!$J75*Q191</f>
        <v>9.8084169246820258E-2</v>
      </c>
      <c r="H44" s="41">
        <f>EndOfLife!$J75*Q211</f>
        <v>0</v>
      </c>
    </row>
    <row r="45" spans="1:36" x14ac:dyDescent="0.2">
      <c r="A45" s="40" t="s">
        <v>122</v>
      </c>
      <c r="B45" s="41">
        <f>EndOfLife!P76+EndOfLife!V76</f>
        <v>0.54101126897570861</v>
      </c>
      <c r="C45" s="41">
        <f>EndOfLife!$J76*Q106</f>
        <v>5.9062032326509736E-2</v>
      </c>
      <c r="D45" s="41">
        <f>EndOfLife!$J76*Q128</f>
        <v>0</v>
      </c>
      <c r="E45" s="41">
        <f>EndOfLife!$J76*Q149</f>
        <v>0</v>
      </c>
      <c r="F45" s="41">
        <f>EndOfLife!$J76*Q171</f>
        <v>0</v>
      </c>
      <c r="G45" s="41">
        <f>EndOfLife!$J76*Q192</f>
        <v>0</v>
      </c>
      <c r="H45" s="41">
        <f>EndOfLife!$J76*Q212</f>
        <v>0</v>
      </c>
    </row>
    <row r="46" spans="1:36" x14ac:dyDescent="0.2">
      <c r="A46" s="40" t="s">
        <v>32</v>
      </c>
      <c r="B46" s="41">
        <f>EndOfLife!P77+EndOfLife!V77</f>
        <v>2.8511114742513297</v>
      </c>
      <c r="C46" s="41">
        <f>EndOfLife!$J77*Q107</f>
        <v>0.69560073113854815</v>
      </c>
      <c r="D46" s="41">
        <f>EndOfLife!$J77*Q129</f>
        <v>0.34780036556927446</v>
      </c>
      <c r="E46" s="41">
        <f>EndOfLife!$J77*Q150</f>
        <v>0</v>
      </c>
      <c r="F46" s="41">
        <f>EndOfLife!$J77*Q172</f>
        <v>0.34780036556927407</v>
      </c>
      <c r="G46" s="41">
        <f>EndOfLife!$J77*Q193</f>
        <v>0.34780036556927446</v>
      </c>
      <c r="H46" s="41">
        <f>EndOfLife!$J77*Q213</f>
        <v>0</v>
      </c>
    </row>
    <row r="47" spans="1:36" x14ac:dyDescent="0.2">
      <c r="A47" s="40" t="s">
        <v>105</v>
      </c>
      <c r="B47" s="41">
        <f>EndOfLife!P78+EndOfLife!V78</f>
        <v>0.30528040243506777</v>
      </c>
      <c r="C47" s="41">
        <f>EndOfLife!$J78*Q108</f>
        <v>0.16865535904890397</v>
      </c>
      <c r="D47" s="41">
        <f>EndOfLife!$J78*Q130</f>
        <v>0.16865535904890397</v>
      </c>
      <c r="E47" s="41">
        <f>EndOfLife!$J78*Q151</f>
        <v>0</v>
      </c>
      <c r="F47" s="41">
        <f>EndOfLife!$J78*Q173</f>
        <v>0.17220599818677562</v>
      </c>
      <c r="G47" s="41">
        <f>EndOfLife!$J78*Q194</f>
        <v>8.3440019739984064E-2</v>
      </c>
      <c r="H47" s="41">
        <f>EndOfLife!$J78*Q214</f>
        <v>0</v>
      </c>
    </row>
    <row r="48" spans="1:36" x14ac:dyDescent="0.2">
      <c r="A48" s="40" t="s">
        <v>576</v>
      </c>
      <c r="B48" s="41">
        <f>EndOfLife!P79+EndOfLife!V79</f>
        <v>1.5285097038586184</v>
      </c>
      <c r="C48" s="41">
        <f>EndOfLife!$J79*Q109</f>
        <v>1.7071210407159758</v>
      </c>
      <c r="D48" s="41">
        <f>EndOfLife!$J79*Q131</f>
        <v>1.1380806938106505</v>
      </c>
      <c r="E48" s="41">
        <f>EndOfLife!$J79*Q152</f>
        <v>0</v>
      </c>
      <c r="F48" s="41">
        <f>EndOfLife!$J79*Q174</f>
        <v>0.56904034690532512</v>
      </c>
      <c r="G48" s="41">
        <f>EndOfLife!$J79*Q195</f>
        <v>0.18968011563510817</v>
      </c>
      <c r="H48" s="41">
        <f>EndOfLife!$J79*Q215</f>
        <v>0</v>
      </c>
    </row>
    <row r="49" spans="1:8" x14ac:dyDescent="0.2">
      <c r="A49" s="40" t="s">
        <v>575</v>
      </c>
      <c r="B49" s="41">
        <f>EndOfLife!P80+EndOfLife!V80</f>
        <v>0.66573282702289094</v>
      </c>
      <c r="C49" s="41">
        <f>EndOfLife!$J80*Q110</f>
        <v>0.74352587598045583</v>
      </c>
      <c r="D49" s="41">
        <f>EndOfLife!$J80*Q132</f>
        <v>0.49568391732030387</v>
      </c>
      <c r="E49" s="41">
        <f>EndOfLife!$J80*Q153</f>
        <v>0</v>
      </c>
      <c r="F49" s="41">
        <f>EndOfLife!$J80*Q175</f>
        <v>0.24784195866015191</v>
      </c>
      <c r="G49" s="41">
        <f>EndOfLife!$J80*Q196</f>
        <v>8.2613986220050534E-2</v>
      </c>
      <c r="H49" s="41">
        <f>EndOfLife!$J80*Q216</f>
        <v>0</v>
      </c>
    </row>
    <row r="50" spans="1:8" x14ac:dyDescent="0.2">
      <c r="B50" s="2" t="s">
        <v>368</v>
      </c>
      <c r="C50" s="50">
        <f>(SUM($B$33:$B$49)-SUM(C33:C49))/SUM($B$33:$B$49)</f>
        <v>0.66619984604613525</v>
      </c>
      <c r="D50" s="50">
        <f t="shared" ref="D50:H50" si="18">(SUM($B$33:$B$49)-SUM(D33:D49))/SUM($B$33:$B$49)</f>
        <v>0.84860403695297792</v>
      </c>
      <c r="E50" s="50">
        <f t="shared" si="18"/>
        <v>1</v>
      </c>
      <c r="F50" s="50">
        <f t="shared" si="18"/>
        <v>0.8588359208895775</v>
      </c>
      <c r="G50" s="50">
        <f t="shared" si="18"/>
        <v>0.94722348921789457</v>
      </c>
      <c r="H50" s="50">
        <f t="shared" si="18"/>
        <v>1</v>
      </c>
    </row>
    <row r="51" spans="1:8" x14ac:dyDescent="0.2">
      <c r="B51" s="2" t="s">
        <v>934</v>
      </c>
      <c r="C51" s="58">
        <f>(SUM($B$33:$B$49)-SUM(C33:C49))</f>
        <v>24.911356250303513</v>
      </c>
      <c r="D51" s="58">
        <f t="shared" ref="D51:H51" si="19">(SUM($B$33:$B$49)-SUM(D33:D49))</f>
        <v>31.732035973057542</v>
      </c>
      <c r="E51" s="58">
        <f t="shared" si="19"/>
        <v>37.393218263485409</v>
      </c>
      <c r="F51" s="58">
        <f t="shared" si="19"/>
        <v>32.114639042345459</v>
      </c>
      <c r="G51" s="58">
        <f t="shared" si="19"/>
        <v>35.419734676624948</v>
      </c>
      <c r="H51" s="58">
        <f t="shared" si="19"/>
        <v>37.393218263485409</v>
      </c>
    </row>
    <row r="52" spans="1:8" x14ac:dyDescent="0.2">
      <c r="B52" s="2" t="s">
        <v>369</v>
      </c>
      <c r="C52" s="50">
        <f>($B$38-C38)/$B$38</f>
        <v>0.75496713039793883</v>
      </c>
      <c r="D52" s="50">
        <f t="shared" ref="D52:H52" si="20">($B$38-D38)/$B$38</f>
        <v>0.87748356519896953</v>
      </c>
      <c r="E52" s="50">
        <f t="shared" si="20"/>
        <v>1</v>
      </c>
      <c r="F52" s="50">
        <f t="shared" si="20"/>
        <v>0.81622534779845402</v>
      </c>
      <c r="G52" s="50">
        <f t="shared" si="20"/>
        <v>1</v>
      </c>
      <c r="H52" s="50">
        <f t="shared" si="20"/>
        <v>1</v>
      </c>
    </row>
    <row r="53" spans="1:8" ht="19" x14ac:dyDescent="0.25">
      <c r="A53" s="12"/>
      <c r="C53" s="71"/>
      <c r="D53" s="71"/>
      <c r="E53" s="71"/>
      <c r="F53" s="71"/>
      <c r="G53" s="71"/>
      <c r="H53" s="71"/>
    </row>
    <row r="54" spans="1:8" ht="19" x14ac:dyDescent="0.25">
      <c r="A54" s="12" t="s">
        <v>356</v>
      </c>
      <c r="C54" s="71"/>
      <c r="D54" s="71"/>
      <c r="E54" s="71"/>
      <c r="F54" s="71"/>
      <c r="G54" s="71"/>
      <c r="H54" s="71"/>
    </row>
    <row r="55" spans="1:8" x14ac:dyDescent="0.2">
      <c r="C55" s="185" t="s">
        <v>351</v>
      </c>
      <c r="D55" s="185"/>
      <c r="E55" s="185"/>
      <c r="F55" s="185" t="s">
        <v>353</v>
      </c>
      <c r="G55" s="185"/>
      <c r="H55" s="185"/>
    </row>
    <row r="56" spans="1:8" ht="34" x14ac:dyDescent="0.2">
      <c r="A56" s="48" t="s">
        <v>76</v>
      </c>
      <c r="B56" s="39" t="s">
        <v>235</v>
      </c>
      <c r="C56" s="48" t="s">
        <v>228</v>
      </c>
      <c r="D56" s="48" t="s">
        <v>237</v>
      </c>
      <c r="E56" s="48" t="s">
        <v>236</v>
      </c>
      <c r="F56" s="48" t="s">
        <v>228</v>
      </c>
      <c r="G56" s="48" t="s">
        <v>237</v>
      </c>
      <c r="H56" s="48" t="s">
        <v>236</v>
      </c>
    </row>
    <row r="57" spans="1:8" x14ac:dyDescent="0.2">
      <c r="A57" s="40" t="s">
        <v>82</v>
      </c>
      <c r="B57" s="41">
        <f>EndOfLife!X64</f>
        <v>1.4605624041391865</v>
      </c>
      <c r="C57" s="41">
        <f>EndOfLife!$J64*R94</f>
        <v>16.293527113748819</v>
      </c>
      <c r="D57" s="41">
        <f>EndOfLife!$J64*R116</f>
        <v>20.366908892186029</v>
      </c>
      <c r="E57" s="41">
        <f>EndOfLife!$J64*R137</f>
        <v>20.366908892186029</v>
      </c>
      <c r="F57" s="41">
        <f>EndOfLife!$J64*R159</f>
        <v>20.366908892186025</v>
      </c>
      <c r="G57" s="41">
        <f>EndOfLife!$J64*R180</f>
        <v>20.366908892186029</v>
      </c>
      <c r="H57" s="41">
        <f>EndOfLife!$J64*R200</f>
        <v>20.366908892186025</v>
      </c>
    </row>
    <row r="58" spans="1:8" x14ac:dyDescent="0.2">
      <c r="A58" s="40" t="s">
        <v>127</v>
      </c>
      <c r="B58" s="41">
        <f>EndOfLife!X65</f>
        <v>0.13628684864371868</v>
      </c>
      <c r="C58" s="41">
        <f>EndOfLife!$J65*R95</f>
        <v>0</v>
      </c>
      <c r="D58" s="41">
        <f>EndOfLife!$J65*R117</f>
        <v>0</v>
      </c>
      <c r="E58" s="41">
        <f>EndOfLife!$J65*R138</f>
        <v>0</v>
      </c>
      <c r="F58" s="41">
        <f>EndOfLife!$J65*R160</f>
        <v>1.1402765763366502</v>
      </c>
      <c r="G58" s="41">
        <f>EndOfLife!$J65*R181</f>
        <v>1.6153918164769214</v>
      </c>
      <c r="H58" s="41">
        <f>EndOfLife!$J65*R201</f>
        <v>1.9004609605610838</v>
      </c>
    </row>
    <row r="59" spans="1:8" x14ac:dyDescent="0.2">
      <c r="A59" s="40" t="s">
        <v>8</v>
      </c>
      <c r="B59" s="41">
        <f>EndOfLife!X66</f>
        <v>9.0143106420287389E-2</v>
      </c>
      <c r="C59" s="41">
        <f>EndOfLife!$J66*R96</f>
        <v>0.29046571732803539</v>
      </c>
      <c r="D59" s="41">
        <f>EndOfLife!$J66*R118</f>
        <v>0.38728762310404719</v>
      </c>
      <c r="E59" s="41">
        <f>EndOfLife!$J66*R139</f>
        <v>0.48410952888005898</v>
      </c>
      <c r="F59" s="41">
        <f>EndOfLife!$J66*R161</f>
        <v>1.0650409635361298</v>
      </c>
      <c r="G59" s="41">
        <f>EndOfLife!$J66*R182</f>
        <v>1.6459723981922008</v>
      </c>
      <c r="H59" s="41">
        <f>EndOfLife!$J66*R202</f>
        <v>1.9364381155202359</v>
      </c>
    </row>
    <row r="60" spans="1:8" x14ac:dyDescent="0.2">
      <c r="A60" s="40" t="s">
        <v>19</v>
      </c>
      <c r="B60" s="41">
        <f>EndOfLife!X67</f>
        <v>7.8218993517413515E-2</v>
      </c>
      <c r="C60" s="41">
        <f>EndOfLife!$J67*R97</f>
        <v>0.2520429677093885</v>
      </c>
      <c r="D60" s="41">
        <f>EndOfLife!$J67*R119</f>
        <v>0.33605729027918468</v>
      </c>
      <c r="E60" s="41">
        <f>EndOfLife!$J67*R140</f>
        <v>0.42007161284898081</v>
      </c>
      <c r="F60" s="41">
        <f>EndOfLife!$J67*R162</f>
        <v>0.67211458055836937</v>
      </c>
      <c r="G60" s="41">
        <f>EndOfLife!$J67*R183</f>
        <v>1.3442291611167387</v>
      </c>
      <c r="H60" s="41">
        <f>EndOfLife!$J67*R203</f>
        <v>1.6802864513959233</v>
      </c>
    </row>
    <row r="61" spans="1:8" x14ac:dyDescent="0.2">
      <c r="A61" s="40" t="s">
        <v>1</v>
      </c>
      <c r="B61" s="41">
        <f>EndOfLife!X68</f>
        <v>0.18426848892856054</v>
      </c>
      <c r="C61" s="41">
        <f>EndOfLife!$J68*R98</f>
        <v>2.1148190559321778</v>
      </c>
      <c r="D61" s="41">
        <f>EndOfLife!$J68*R120</f>
        <v>2.1148190559321778</v>
      </c>
      <c r="E61" s="41">
        <f>EndOfLife!$J68*R141</f>
        <v>2.1148190559321778</v>
      </c>
      <c r="F61" s="41">
        <f>EndOfLife!$J68*R163</f>
        <v>2.1148190559321778</v>
      </c>
      <c r="G61" s="41">
        <f>EndOfLife!$J68*R184</f>
        <v>2.3497989510357531</v>
      </c>
      <c r="H61" s="41">
        <f>EndOfLife!$J68*R204</f>
        <v>2.3497989510357531</v>
      </c>
    </row>
    <row r="62" spans="1:8" x14ac:dyDescent="0.2">
      <c r="A62" s="40" t="s">
        <v>10</v>
      </c>
      <c r="B62" s="41">
        <f>EndOfLife!X69</f>
        <v>0</v>
      </c>
      <c r="C62" s="41">
        <f>EndOfLife!$J69*R99</f>
        <v>0.72300585613166712</v>
      </c>
      <c r="D62" s="41">
        <f>EndOfLife!$J69*R121</f>
        <v>1.0845087841975007</v>
      </c>
      <c r="E62" s="41">
        <f>EndOfLife!$J69*R142</f>
        <v>1.1748845162139592</v>
      </c>
      <c r="F62" s="41">
        <f>EndOfLife!$J69*R164</f>
        <v>1.0845087841975007</v>
      </c>
      <c r="G62" s="41">
        <f>EndOfLife!$J69*R185</f>
        <v>1.807514640329168</v>
      </c>
      <c r="H62" s="41">
        <f>EndOfLife!$J69*R205</f>
        <v>1.807514640329168</v>
      </c>
    </row>
    <row r="63" spans="1:8" x14ac:dyDescent="0.2">
      <c r="A63" s="40" t="s">
        <v>11</v>
      </c>
      <c r="B63" s="41">
        <f>EndOfLife!X70</f>
        <v>1.8055670057129148E-2</v>
      </c>
      <c r="C63" s="41">
        <f>EndOfLife!$J70*R100</f>
        <v>0.67449703100371139</v>
      </c>
      <c r="D63" s="41">
        <f>EndOfLife!$J70*R122</f>
        <v>1.0117455465055671</v>
      </c>
      <c r="E63" s="41">
        <f>EndOfLife!$J70*R143</f>
        <v>1.0960576753810312</v>
      </c>
      <c r="F63" s="41">
        <f>EndOfLife!$J70*R165</f>
        <v>1.0117455465055671</v>
      </c>
      <c r="G63" s="41">
        <f>EndOfLife!$J70*R186</f>
        <v>1.6862425775092786</v>
      </c>
      <c r="H63" s="41">
        <f>EndOfLife!$J70*R206</f>
        <v>1.6862425775092786</v>
      </c>
    </row>
    <row r="64" spans="1:8" x14ac:dyDescent="0.2">
      <c r="A64" s="40" t="s">
        <v>25</v>
      </c>
      <c r="B64" s="41">
        <f>EndOfLife!X71</f>
        <v>1.8541159735217094E-2</v>
      </c>
      <c r="C64" s="41">
        <f>EndOfLife!$J71*R101</f>
        <v>0.69263323671732724</v>
      </c>
      <c r="D64" s="41">
        <f>EndOfLife!$J71*R123</f>
        <v>1.038949855075991</v>
      </c>
      <c r="E64" s="41">
        <f>EndOfLife!$J71*R144</f>
        <v>1.1255290096656569</v>
      </c>
      <c r="F64" s="41">
        <f>EndOfLife!$J71*R166</f>
        <v>1.038949855075991</v>
      </c>
      <c r="G64" s="41">
        <f>EndOfLife!$J71*R187</f>
        <v>1.7315830917933184</v>
      </c>
      <c r="H64" s="41">
        <f>EndOfLife!$J71*R207</f>
        <v>1.7315830917933184</v>
      </c>
    </row>
    <row r="65" spans="1:8" x14ac:dyDescent="0.2">
      <c r="A65" s="40" t="s">
        <v>7</v>
      </c>
      <c r="B65" s="41">
        <f>EndOfLife!X72</f>
        <v>0</v>
      </c>
      <c r="C65" s="41">
        <f>EndOfLife!$J72*R102</f>
        <v>8.8592339671642623E-2</v>
      </c>
      <c r="D65" s="41">
        <f>EndOfLife!$J72*R124</f>
        <v>0.88592339671642617</v>
      </c>
      <c r="E65" s="41">
        <f>EndOfLife!$J72*R145</f>
        <v>1.7718467934328523</v>
      </c>
      <c r="F65" s="41">
        <f>EndOfLife!$J72*R167</f>
        <v>0.88592339671642617</v>
      </c>
      <c r="G65" s="41">
        <f>EndOfLife!$J72*R188</f>
        <v>1.151700415731354</v>
      </c>
      <c r="H65" s="41">
        <f>EndOfLife!$J72*R208</f>
        <v>1.7718467934328523</v>
      </c>
    </row>
    <row r="66" spans="1:8" x14ac:dyDescent="0.2">
      <c r="A66" s="40" t="s">
        <v>2</v>
      </c>
      <c r="B66" s="41">
        <f>EndOfLife!X73</f>
        <v>0.3996841989269615</v>
      </c>
      <c r="C66" s="41">
        <f>EndOfLife!$J73*R103</f>
        <v>3.8138937580082017</v>
      </c>
      <c r="D66" s="41">
        <f>EndOfLife!$J73*R125</f>
        <v>3.8138937580082017</v>
      </c>
      <c r="E66" s="41">
        <f>EndOfLife!$J73*R146</f>
        <v>3.8138937580082017</v>
      </c>
      <c r="F66" s="41">
        <f>EndOfLife!$J73*R168</f>
        <v>3.8138937580082017</v>
      </c>
      <c r="G66" s="41">
        <f>EndOfLife!$J73*R189</f>
        <v>3.8138937580082017</v>
      </c>
      <c r="H66" s="41">
        <f>EndOfLife!$J73*R209</f>
        <v>3.8138937580082017</v>
      </c>
    </row>
    <row r="67" spans="1:8" x14ac:dyDescent="0.2">
      <c r="A67" s="40" t="s">
        <v>30</v>
      </c>
      <c r="B67" s="41">
        <f>EndOfLife!X74</f>
        <v>0</v>
      </c>
      <c r="C67" s="41">
        <f>EndOfLife!$J74*R104</f>
        <v>0.23107837455841429</v>
      </c>
      <c r="D67" s="41">
        <f>EndOfLife!$J74*R126</f>
        <v>0.69323512367524287</v>
      </c>
      <c r="E67" s="41">
        <f>EndOfLife!$J74*R147</f>
        <v>1.1553918727920711</v>
      </c>
      <c r="F67" s="41">
        <f>EndOfLife!$J74*R169</f>
        <v>0.75100471731484642</v>
      </c>
      <c r="G67" s="41">
        <f>EndOfLife!$J74*R190</f>
        <v>1.1553918727920713</v>
      </c>
      <c r="H67" s="41">
        <f>EndOfLife!$J74*R210</f>
        <v>1.1553918727920713</v>
      </c>
    </row>
    <row r="68" spans="1:8" x14ac:dyDescent="0.2">
      <c r="A68" s="40" t="s">
        <v>31</v>
      </c>
      <c r="B68" s="41">
        <f>EndOfLife!X75</f>
        <v>0</v>
      </c>
      <c r="C68" s="41">
        <f>EndOfLife!$J75*R105</f>
        <v>0.78467335397456228</v>
      </c>
      <c r="D68" s="41">
        <f>EndOfLife!$J75*R127</f>
        <v>0.686589184727742</v>
      </c>
      <c r="E68" s="41">
        <f>EndOfLife!$J75*R148</f>
        <v>0.98084169246820285</v>
      </c>
      <c r="F68" s="41">
        <f>EndOfLife!$J75*R170</f>
        <v>0.83371543859797237</v>
      </c>
      <c r="G68" s="41">
        <f>EndOfLife!$J75*R191</f>
        <v>0.88275752322138257</v>
      </c>
      <c r="H68" s="41">
        <f>EndOfLife!$J75*R211</f>
        <v>0.98084169246820285</v>
      </c>
    </row>
    <row r="69" spans="1:8" x14ac:dyDescent="0.2">
      <c r="A69" s="40" t="s">
        <v>122</v>
      </c>
      <c r="B69" s="41">
        <f>EndOfLife!X76</f>
        <v>0</v>
      </c>
      <c r="C69" s="41">
        <f>EndOfLife!$J76*R106</f>
        <v>0.472496258612078</v>
      </c>
      <c r="D69" s="41">
        <f>EndOfLife!$J76*R128</f>
        <v>0.53155829093858775</v>
      </c>
      <c r="E69" s="41">
        <f>EndOfLife!$J76*R149</f>
        <v>0.53155829093858775</v>
      </c>
      <c r="F69" s="41">
        <f>EndOfLife!$J76*R171</f>
        <v>0.53155829093858775</v>
      </c>
      <c r="G69" s="41">
        <f>EndOfLife!$J76*R192</f>
        <v>0.59062032326509739</v>
      </c>
      <c r="H69" s="41">
        <f>EndOfLife!$J76*R212</f>
        <v>0.5906203232650975</v>
      </c>
    </row>
    <row r="70" spans="1:8" x14ac:dyDescent="0.2">
      <c r="A70" s="40" t="s">
        <v>32</v>
      </c>
      <c r="B70" s="41">
        <f>EndOfLife!X77</f>
        <v>0</v>
      </c>
      <c r="C70" s="41">
        <f>EndOfLife!$J77*R107</f>
        <v>2.7824029245541935</v>
      </c>
      <c r="D70" s="41">
        <f>EndOfLife!$J77*R129</f>
        <v>2.782402924554193</v>
      </c>
      <c r="E70" s="41">
        <f>EndOfLife!$J77*R150</f>
        <v>3.4780036556927416</v>
      </c>
      <c r="F70" s="41">
        <f>EndOfLife!$J77*R172</f>
        <v>3.1302032901234673</v>
      </c>
      <c r="G70" s="41">
        <f>EndOfLife!$J77*R193</f>
        <v>3.1302032901234673</v>
      </c>
      <c r="H70" s="41">
        <f>EndOfLife!$J77*R213</f>
        <v>3.4780036556927416</v>
      </c>
    </row>
    <row r="71" spans="1:8" x14ac:dyDescent="0.2">
      <c r="A71" s="40" t="s">
        <v>105</v>
      </c>
      <c r="B71" s="41">
        <f>EndOfLife!L78</f>
        <v>0.27473425393195783</v>
      </c>
      <c r="C71" s="41">
        <f>EndOfLife!$J78*R108</f>
        <v>0.71900442541901188</v>
      </c>
      <c r="D71" s="41">
        <f>EndOfLife!$J78*R130</f>
        <v>0.71900442541901188</v>
      </c>
      <c r="E71" s="41">
        <f>EndOfLife!$J78*R151</f>
        <v>0.71900442541901188</v>
      </c>
      <c r="F71" s="41">
        <f>EndOfLife!$J78*R173</f>
        <v>0.7154537862811402</v>
      </c>
      <c r="G71" s="41">
        <f>EndOfLife!$J78*R194</f>
        <v>0.80421976472793177</v>
      </c>
      <c r="H71" s="41">
        <f>EndOfLife!$J78*R214</f>
        <v>0.88765978446791582</v>
      </c>
    </row>
    <row r="72" spans="1:8" x14ac:dyDescent="0.2">
      <c r="A72" s="40" t="s">
        <v>576</v>
      </c>
      <c r="B72" s="41">
        <f>EndOfLife!X79</f>
        <v>0.13602439485340947</v>
      </c>
      <c r="C72" s="41">
        <f>EndOfLife!$J79*R109</f>
        <v>0</v>
      </c>
      <c r="D72" s="41">
        <f>EndOfLife!$J79*R131</f>
        <v>0</v>
      </c>
      <c r="E72" s="41">
        <f>EndOfLife!$J79*R152</f>
        <v>0</v>
      </c>
      <c r="F72" s="41">
        <f>EndOfLife!$J79*R174</f>
        <v>0.85356052035798791</v>
      </c>
      <c r="G72" s="41">
        <f>EndOfLife!$J79*R195</f>
        <v>1.5174409250808676</v>
      </c>
      <c r="H72" s="41">
        <f>EndOfLife!$J79*R215</f>
        <v>1.8968011563510843</v>
      </c>
    </row>
    <row r="73" spans="1:8" x14ac:dyDescent="0.2">
      <c r="A73" s="40" t="s">
        <v>575</v>
      </c>
      <c r="B73" s="41">
        <f>EndOfLife!X80</f>
        <v>5.9244573129785233E-2</v>
      </c>
      <c r="C73" s="41">
        <f>EndOfLife!$J80*R110</f>
        <v>0</v>
      </c>
      <c r="D73" s="41">
        <f>EndOfLife!$J80*R132</f>
        <v>0</v>
      </c>
      <c r="E73" s="41">
        <f>EndOfLife!$J80*R153</f>
        <v>0</v>
      </c>
      <c r="F73" s="41">
        <f>EndOfLife!$J80*R175</f>
        <v>0.37176293799022792</v>
      </c>
      <c r="G73" s="41">
        <f>EndOfLife!$J80*R196</f>
        <v>0.66091188976040527</v>
      </c>
      <c r="H73" s="41">
        <f>EndOfLife!$J80*R216</f>
        <v>0.8261398622005065</v>
      </c>
    </row>
    <row r="74" spans="1:8" x14ac:dyDescent="0.2">
      <c r="B74" s="2" t="s">
        <v>370</v>
      </c>
      <c r="C74" s="113">
        <f>ABS(SUM($B$57:$B$73)-SUM(C57:C73))</f>
        <v>27.077368321085608</v>
      </c>
      <c r="D74" s="113">
        <f t="shared" ref="D74:H74" si="21">ABS(SUM($B$57:$B$73)-SUM(D57:D73))</f>
        <v>33.597120059036271</v>
      </c>
      <c r="E74" s="113">
        <f t="shared" si="21"/>
        <v>36.377156687575933</v>
      </c>
      <c r="F74" s="113">
        <f t="shared" si="21"/>
        <v>37.525676298373632</v>
      </c>
      <c r="G74" s="113">
        <f t="shared" si="21"/>
        <v>43.399017199066563</v>
      </c>
      <c r="H74" s="113">
        <f t="shared" si="21"/>
        <v>46.004668486725819</v>
      </c>
    </row>
    <row r="76" spans="1:8" x14ac:dyDescent="0.2">
      <c r="C76" s="193" t="s">
        <v>351</v>
      </c>
      <c r="D76" s="194"/>
      <c r="E76" s="195"/>
      <c r="F76" s="185" t="s">
        <v>353</v>
      </c>
      <c r="G76" s="185"/>
      <c r="H76" s="185"/>
    </row>
    <row r="77" spans="1:8" ht="34" x14ac:dyDescent="0.2">
      <c r="A77" s="48" t="s">
        <v>298</v>
      </c>
      <c r="B77" s="39" t="s">
        <v>235</v>
      </c>
      <c r="C77" s="48" t="s">
        <v>228</v>
      </c>
      <c r="D77" s="48" t="s">
        <v>237</v>
      </c>
      <c r="E77" s="48" t="s">
        <v>236</v>
      </c>
      <c r="F77" s="48" t="s">
        <v>228</v>
      </c>
      <c r="G77" s="48" t="s">
        <v>237</v>
      </c>
      <c r="H77" s="48" t="s">
        <v>236</v>
      </c>
    </row>
    <row r="78" spans="1:8" x14ac:dyDescent="0.2">
      <c r="A78" s="40" t="s">
        <v>215</v>
      </c>
      <c r="B78" s="41">
        <f>SUM(EndOfLife!X64:X80)</f>
        <v>2.581029838351669</v>
      </c>
      <c r="C78" s="41">
        <f>SUMPRODUCT(EndOfLife!$J$64:$J$80,Bandwidth!C94:C110)</f>
        <v>8.4812102536556893</v>
      </c>
      <c r="D78" s="41">
        <f>SUMPRODUCT(EndOfLife!$J$64:$J$80,C116:C132)</f>
        <v>7.2184021134575111</v>
      </c>
      <c r="E78" s="41">
        <f>SUMPRODUCT(EndOfLife!$J$64:$J$80,C137:C153)</f>
        <v>8.9001646317861844</v>
      </c>
      <c r="F78" s="41">
        <f>SUMPRODUCT(EndOfLife!$J$64:$J$80,C159:C175)</f>
        <v>13.44128915146092</v>
      </c>
      <c r="G78" s="41">
        <f>SUMPRODUCT(EndOfLife!$J$64:$J$80,C180:C196)</f>
        <v>13.528789125410695</v>
      </c>
      <c r="H78" s="41">
        <f>SUMPRODUCT(EndOfLife!$J$64:$J$80,C200:C216)</f>
        <v>12.855306263003406</v>
      </c>
    </row>
    <row r="79" spans="1:8" x14ac:dyDescent="0.2">
      <c r="A79" s="40" t="s">
        <v>364</v>
      </c>
      <c r="B79" s="41">
        <v>0</v>
      </c>
      <c r="C79" s="41">
        <f>SUMPRODUCT(EndOfLife!$J$64:$J$80,T94:T110)</f>
        <v>18.904048625923412</v>
      </c>
      <c r="D79" s="41">
        <f>SUMPRODUCT(EndOfLife!$J$64:$J$80,T116:T132)</f>
        <v>25.635834894566926</v>
      </c>
      <c r="E79" s="41">
        <f>SUMPRODUCT(EndOfLife!$J$64:$J$80,T137:T153)</f>
        <v>26.619692192037665</v>
      </c>
      <c r="F79" s="41">
        <f>SUMPRODUCT(EndOfLife!$J$64:$J$80,T159:T175)</f>
        <v>23.036492436687126</v>
      </c>
      <c r="G79" s="41">
        <f>SUMPRODUCT(EndOfLife!$J$64:$J$80,T180:T196)</f>
        <v>27.371448615088298</v>
      </c>
      <c r="H79" s="41">
        <f>SUMPRODUCT(EndOfLife!$J$64:$J$80,T200:T216)</f>
        <v>30.724460267080811</v>
      </c>
    </row>
    <row r="80" spans="1:8" x14ac:dyDescent="0.2">
      <c r="A80" s="40" t="s">
        <v>302</v>
      </c>
      <c r="B80" s="41">
        <v>0</v>
      </c>
      <c r="C80" s="41">
        <f>SUMPRODUCT(EndOfLife!$J$64:$J$80,H94:H110)</f>
        <v>0</v>
      </c>
      <c r="D80" s="41">
        <f>SUMPRODUCT(EndOfLife!$J$64:$J$80,H116:H132)</f>
        <v>0.26697256306057415</v>
      </c>
      <c r="E80" s="41">
        <f>SUMPRODUCT(EndOfLife!$J$64:$J$80,H137:H153)</f>
        <v>0.38138937580082022</v>
      </c>
      <c r="F80" s="41">
        <f>SUMPRODUCT(EndOfLife!$J$64:$J$80,H159:H175)</f>
        <v>0</v>
      </c>
      <c r="G80" s="41">
        <f>SUMPRODUCT(EndOfLife!$J$64:$J$80,H180:H196)</f>
        <v>0.26697256306057415</v>
      </c>
      <c r="H80" s="41">
        <f>SUMPRODUCT(EndOfLife!$J$64:$J$80,H200:H216)</f>
        <v>0.38138937580082022</v>
      </c>
    </row>
    <row r="81" spans="1:22" x14ac:dyDescent="0.2">
      <c r="A81" s="40" t="s">
        <v>213</v>
      </c>
      <c r="B81" s="41">
        <f>SUM(EndOfLife!O64:O78)</f>
        <v>5.332737456403386</v>
      </c>
      <c r="C81" s="41">
        <f>SUMPRODUCT(EndOfLife!$J$64:$J$80,$B$94:$B$110)</f>
        <v>3.5578387943903804</v>
      </c>
      <c r="D81" s="41">
        <f>SUMPRODUCT(EndOfLife!$J$64:$J$80,$B$116:$B$132)</f>
        <v>0.94084428056899672</v>
      </c>
      <c r="E81" s="41">
        <f>SUMPRODUCT(EndOfLife!$J$64:$J$80,$B$137:$B$153)</f>
        <v>0.88307468692939317</v>
      </c>
      <c r="F81" s="41">
        <f>SUMPRODUCT(EndOfLife!$J$64:$J$80,$B$159:$B$175)</f>
        <v>1.5211479051717767</v>
      </c>
      <c r="G81" s="41">
        <f>SUMPRODUCT(EndOfLife!$J$64:$J$80,$B$180:$B$196)</f>
        <v>0.41200632730144171</v>
      </c>
      <c r="H81" s="41">
        <f>SUMPRODUCT(EndOfLife!$J$64:$J$80,$B$200:$B$216)</f>
        <v>0</v>
      </c>
    </row>
    <row r="82" spans="1:22" x14ac:dyDescent="0.2">
      <c r="A82" s="40" t="s">
        <v>222</v>
      </c>
      <c r="B82" s="41">
        <v>0</v>
      </c>
      <c r="C82" s="41">
        <f>SUMPRODUCT(EndOfLife!$J$64:$J$80,$K$94:$K$110)</f>
        <v>2.8875993580679524</v>
      </c>
      <c r="D82" s="41">
        <f>SUMPRODUCT(EndOfLife!$J$64:$J$80,$K$116:$K$132)</f>
        <v>5.8055218566926969</v>
      </c>
      <c r="E82" s="41">
        <f>SUMPRODUCT(EndOfLife!$J$64:$J$80,$K$137:$K$153)</f>
        <v>8.744437112220508</v>
      </c>
      <c r="F82" s="41">
        <f>SUMPRODUCT(EndOfLife!$J$64:$J$80,$K$159:$K$175)</f>
        <v>2.2547999234526652</v>
      </c>
      <c r="G82" s="41">
        <f>SUMPRODUCT(EndOfLife!$J$64:$J$80,$K$180:$K$196)</f>
        <v>0.41200632730144171</v>
      </c>
      <c r="H82" s="41">
        <f>SUMPRODUCT(EndOfLife!$J$64:$J$80,$K$200:$K$216)</f>
        <v>0</v>
      </c>
    </row>
    <row r="83" spans="1:22" x14ac:dyDescent="0.2">
      <c r="A83" s="40" t="s">
        <v>890</v>
      </c>
      <c r="B83" s="41">
        <v>0</v>
      </c>
      <c r="C83" s="41">
        <f>SUMPRODUCT(EndOfLife!$J$64:$J$80,V94:V110)</f>
        <v>1.8288691083711177</v>
      </c>
      <c r="D83" s="41">
        <f>SUMPRODUCT(EndOfLife!$J$64:$J$80,V116:V132)</f>
        <v>2.6126701548158824</v>
      </c>
      <c r="E83" s="41">
        <f>SUMPRODUCT(EndOfLife!$J$64:$J$80,V137:V153)</f>
        <v>2.6126701548158824</v>
      </c>
      <c r="F83" s="41">
        <f>SUMPRODUCT(EndOfLife!$J$64:$J$80,V159:V175)</f>
        <v>2.6126701548158824</v>
      </c>
      <c r="G83" s="41">
        <f>SUMPRODUCT(EndOfLife!$J$64:$J$80,V180:V196)</f>
        <v>4.1802722477054122</v>
      </c>
      <c r="H83" s="41">
        <f>SUMPRODUCT(EndOfLife!$J$64:$J$80,V200:V216)</f>
        <v>4.1802722477054122</v>
      </c>
    </row>
    <row r="84" spans="1:22" x14ac:dyDescent="0.2">
      <c r="A84" s="40" t="s">
        <v>12</v>
      </c>
      <c r="B84" s="41">
        <f>EndOfLife!L78</f>
        <v>0.27473425393195783</v>
      </c>
      <c r="C84" s="41">
        <f>SUMPRODUCT(EndOfLife!$J$64:$J$80,P94:P110)</f>
        <v>0.71900442541901188</v>
      </c>
      <c r="D84" s="41">
        <f>SUMPRODUCT(EndOfLife!$J$64:$J$80,P116:P132)</f>
        <v>0.71900442541901188</v>
      </c>
      <c r="E84" s="41">
        <f>SUMPRODUCT(EndOfLife!$J$64:$J$80,P137:P153)</f>
        <v>0.71900442541901188</v>
      </c>
      <c r="F84" s="41">
        <f>SUMPRODUCT(EndOfLife!$J$64:$J$80,P159:P175)</f>
        <v>0.7154537862811402</v>
      </c>
      <c r="G84" s="41">
        <f>SUMPRODUCT(EndOfLife!$J$64:$J$80,P180:P196)</f>
        <v>0.7154537862811402</v>
      </c>
      <c r="H84" s="41">
        <f>SUMPRODUCT(EndOfLife!$J$64:$J$80,P200:P216)</f>
        <v>0.71900442541901188</v>
      </c>
    </row>
    <row r="87" spans="1:22" ht="20" x14ac:dyDescent="0.2">
      <c r="A87" s="86" t="s">
        <v>211</v>
      </c>
    </row>
    <row r="89" spans="1:22" ht="19" x14ac:dyDescent="0.25">
      <c r="A89" s="12" t="s">
        <v>349</v>
      </c>
    </row>
    <row r="90" spans="1:22" x14ac:dyDescent="0.2">
      <c r="A90" s="28"/>
      <c r="B90" s="69"/>
      <c r="C90" s="69"/>
      <c r="D90" s="69"/>
      <c r="E90" s="69"/>
      <c r="F90" s="69"/>
      <c r="G90" s="69"/>
      <c r="H90" s="69"/>
      <c r="I90" s="69"/>
      <c r="J90" s="69"/>
      <c r="K90" s="69"/>
      <c r="L90" s="69"/>
      <c r="M90" s="69"/>
      <c r="N90" s="69"/>
      <c r="O90" s="69"/>
      <c r="P90" s="69"/>
      <c r="Q90" s="69"/>
      <c r="R90" s="69"/>
    </row>
    <row r="92" spans="1:22" x14ac:dyDescent="0.2">
      <c r="A92" s="68" t="s">
        <v>240</v>
      </c>
      <c r="T92" s="185" t="s">
        <v>363</v>
      </c>
      <c r="U92" s="185"/>
      <c r="V92" s="185"/>
    </row>
    <row r="93" spans="1:22" ht="68" x14ac:dyDescent="0.2">
      <c r="A93" s="62" t="s">
        <v>212</v>
      </c>
      <c r="B93" s="63" t="s">
        <v>213</v>
      </c>
      <c r="C93" s="63" t="s">
        <v>215</v>
      </c>
      <c r="D93" s="63" t="s">
        <v>216</v>
      </c>
      <c r="E93" s="63" t="s">
        <v>217</v>
      </c>
      <c r="F93" s="63" t="s">
        <v>218</v>
      </c>
      <c r="G93" s="63" t="s">
        <v>219</v>
      </c>
      <c r="H93" s="63" t="s">
        <v>302</v>
      </c>
      <c r="I93" s="63" t="s">
        <v>220</v>
      </c>
      <c r="J93" s="63" t="s">
        <v>221</v>
      </c>
      <c r="K93" s="63" t="s">
        <v>222</v>
      </c>
      <c r="L93" s="63" t="s">
        <v>223</v>
      </c>
      <c r="M93" s="63" t="s">
        <v>224</v>
      </c>
      <c r="N93" s="63" t="s">
        <v>225</v>
      </c>
      <c r="O93" s="63" t="s">
        <v>226</v>
      </c>
      <c r="P93" s="63" t="s">
        <v>279</v>
      </c>
      <c r="Q93" s="62" t="s">
        <v>210</v>
      </c>
      <c r="R93" s="63" t="s">
        <v>278</v>
      </c>
      <c r="S93" s="73" t="s">
        <v>110</v>
      </c>
      <c r="T93" s="89" t="s">
        <v>283</v>
      </c>
      <c r="U93" s="89" t="s">
        <v>293</v>
      </c>
      <c r="V93" s="89" t="s">
        <v>282</v>
      </c>
    </row>
    <row r="94" spans="1:22" ht="17" x14ac:dyDescent="0.2">
      <c r="A94" s="64" t="s">
        <v>82</v>
      </c>
      <c r="B94" s="65">
        <v>0.1</v>
      </c>
      <c r="C94" s="65">
        <v>0</v>
      </c>
      <c r="D94" s="65">
        <v>0</v>
      </c>
      <c r="E94" s="65">
        <v>0.6</v>
      </c>
      <c r="F94" s="65">
        <v>0</v>
      </c>
      <c r="G94" s="65">
        <v>0</v>
      </c>
      <c r="H94" s="65">
        <v>0</v>
      </c>
      <c r="I94" s="65">
        <v>0</v>
      </c>
      <c r="J94" s="65">
        <v>0</v>
      </c>
      <c r="K94" s="65">
        <v>0</v>
      </c>
      <c r="L94" s="65">
        <v>0.2</v>
      </c>
      <c r="M94" s="65">
        <v>0</v>
      </c>
      <c r="N94" s="65">
        <v>0</v>
      </c>
      <c r="O94" s="65">
        <v>0</v>
      </c>
      <c r="P94" s="65">
        <v>0</v>
      </c>
      <c r="Q94" s="66">
        <f t="shared" ref="Q94:Q110" si="22">1-SUM(B94:P94)</f>
        <v>0.10000000000000009</v>
      </c>
      <c r="R94" s="65">
        <f>SUM(C94:J94,L94:O94)</f>
        <v>0.8</v>
      </c>
      <c r="S94" s="57">
        <f>SUM(B94:Q94)</f>
        <v>1</v>
      </c>
      <c r="T94" s="57">
        <f>SUM(D94:G94,I94:J94,L94:M94)</f>
        <v>0.8</v>
      </c>
      <c r="U94" s="57">
        <f>B94+K94</f>
        <v>0.1</v>
      </c>
      <c r="V94" s="57">
        <f>SUM(N94:O94)</f>
        <v>0</v>
      </c>
    </row>
    <row r="95" spans="1:22" ht="17" x14ac:dyDescent="0.2">
      <c r="A95" s="64" t="s">
        <v>127</v>
      </c>
      <c r="B95" s="65">
        <v>0.1</v>
      </c>
      <c r="C95" s="65">
        <v>0</v>
      </c>
      <c r="D95" s="65">
        <v>0</v>
      </c>
      <c r="E95" s="65">
        <v>0</v>
      </c>
      <c r="F95" s="65">
        <v>0</v>
      </c>
      <c r="G95" s="65">
        <v>0</v>
      </c>
      <c r="H95" s="65">
        <v>0</v>
      </c>
      <c r="I95" s="65">
        <v>0</v>
      </c>
      <c r="J95" s="65">
        <v>0</v>
      </c>
      <c r="K95" s="65">
        <v>0</v>
      </c>
      <c r="L95" s="65">
        <v>0</v>
      </c>
      <c r="M95" s="65">
        <v>0</v>
      </c>
      <c r="N95" s="65">
        <v>0</v>
      </c>
      <c r="O95" s="65">
        <v>0</v>
      </c>
      <c r="P95" s="65">
        <v>0</v>
      </c>
      <c r="Q95" s="66">
        <f t="shared" si="22"/>
        <v>0.9</v>
      </c>
      <c r="R95" s="65">
        <f>SUM(C95:O95)</f>
        <v>0</v>
      </c>
      <c r="S95" s="57">
        <f t="shared" ref="S95:S110" si="23">SUM(B95:Q95)</f>
        <v>1</v>
      </c>
      <c r="T95" s="57">
        <f t="shared" ref="T95:T108" si="24">SUM(D95:G95,I95:J95,L95:M95)</f>
        <v>0</v>
      </c>
      <c r="U95" s="57">
        <f t="shared" ref="U95:U108" si="25">B95+K95</f>
        <v>0.1</v>
      </c>
      <c r="V95" s="57">
        <f t="shared" ref="V95:V108" si="26">SUM(N95:O95)</f>
        <v>0</v>
      </c>
    </row>
    <row r="96" spans="1:22" ht="17" x14ac:dyDescent="0.2">
      <c r="A96" s="64" t="s">
        <v>8</v>
      </c>
      <c r="B96" s="65">
        <v>0.1</v>
      </c>
      <c r="C96" s="65">
        <v>0.15</v>
      </c>
      <c r="D96" s="65">
        <v>0</v>
      </c>
      <c r="E96" s="65">
        <v>0</v>
      </c>
      <c r="F96" s="65">
        <v>0</v>
      </c>
      <c r="G96" s="65">
        <v>0</v>
      </c>
      <c r="H96" s="65">
        <v>0</v>
      </c>
      <c r="I96" s="65">
        <v>0</v>
      </c>
      <c r="J96" s="65">
        <v>0</v>
      </c>
      <c r="K96" s="65">
        <v>0.3</v>
      </c>
      <c r="L96" s="65">
        <v>0</v>
      </c>
      <c r="M96" s="65">
        <v>0</v>
      </c>
      <c r="N96" s="65">
        <v>0</v>
      </c>
      <c r="O96" s="65">
        <v>0</v>
      </c>
      <c r="P96" s="65">
        <v>0</v>
      </c>
      <c r="Q96" s="66">
        <f t="shared" si="22"/>
        <v>0.44999999999999996</v>
      </c>
      <c r="R96" s="65">
        <f>SUM(C96:J96,L96:O96)</f>
        <v>0.15</v>
      </c>
      <c r="S96" s="57">
        <f t="shared" si="23"/>
        <v>1</v>
      </c>
      <c r="T96" s="57">
        <f t="shared" si="24"/>
        <v>0</v>
      </c>
      <c r="U96" s="57">
        <f t="shared" si="25"/>
        <v>0.4</v>
      </c>
      <c r="V96" s="57">
        <f t="shared" si="26"/>
        <v>0</v>
      </c>
    </row>
    <row r="97" spans="1:22" ht="17" x14ac:dyDescent="0.2">
      <c r="A97" s="64" t="s">
        <v>19</v>
      </c>
      <c r="B97" s="65">
        <v>0.1</v>
      </c>
      <c r="C97" s="65">
        <v>0.15</v>
      </c>
      <c r="D97" s="65">
        <v>0</v>
      </c>
      <c r="E97" s="65">
        <v>0</v>
      </c>
      <c r="F97" s="65">
        <v>0</v>
      </c>
      <c r="G97" s="65">
        <v>0</v>
      </c>
      <c r="H97" s="65">
        <v>0</v>
      </c>
      <c r="I97" s="65">
        <v>0</v>
      </c>
      <c r="J97" s="65">
        <v>0</v>
      </c>
      <c r="K97" s="65">
        <v>0.3</v>
      </c>
      <c r="L97" s="65">
        <v>0</v>
      </c>
      <c r="M97" s="65">
        <v>0</v>
      </c>
      <c r="N97" s="65">
        <v>0</v>
      </c>
      <c r="O97" s="65">
        <v>0</v>
      </c>
      <c r="P97" s="65">
        <v>0</v>
      </c>
      <c r="Q97" s="66">
        <f t="shared" si="22"/>
        <v>0.44999999999999996</v>
      </c>
      <c r="R97" s="65">
        <f t="shared" ref="R97:R107" si="27">SUM(C97:J97,L97:O97)</f>
        <v>0.15</v>
      </c>
      <c r="S97" s="57">
        <f t="shared" si="23"/>
        <v>1</v>
      </c>
      <c r="T97" s="57">
        <f t="shared" si="24"/>
        <v>0</v>
      </c>
      <c r="U97" s="57">
        <f t="shared" si="25"/>
        <v>0.4</v>
      </c>
      <c r="V97" s="57">
        <f t="shared" si="26"/>
        <v>0</v>
      </c>
    </row>
    <row r="98" spans="1:22" ht="17" x14ac:dyDescent="0.2">
      <c r="A98" s="64" t="s">
        <v>1</v>
      </c>
      <c r="B98" s="65">
        <v>0</v>
      </c>
      <c r="C98" s="65">
        <v>0.9</v>
      </c>
      <c r="D98" s="65">
        <v>0</v>
      </c>
      <c r="E98" s="65">
        <v>0</v>
      </c>
      <c r="F98" s="65">
        <v>0</v>
      </c>
      <c r="G98" s="65">
        <v>0</v>
      </c>
      <c r="H98" s="65">
        <v>0</v>
      </c>
      <c r="I98" s="65">
        <v>0</v>
      </c>
      <c r="J98" s="65">
        <v>0</v>
      </c>
      <c r="K98" s="65">
        <v>0.1</v>
      </c>
      <c r="L98" s="65">
        <v>0</v>
      </c>
      <c r="M98" s="65">
        <v>0</v>
      </c>
      <c r="N98" s="65">
        <v>0</v>
      </c>
      <c r="O98" s="65">
        <v>0</v>
      </c>
      <c r="P98" s="65">
        <v>0</v>
      </c>
      <c r="Q98" s="66">
        <f t="shared" si="22"/>
        <v>0</v>
      </c>
      <c r="R98" s="65">
        <f t="shared" si="27"/>
        <v>0.9</v>
      </c>
      <c r="S98" s="57">
        <f t="shared" si="23"/>
        <v>1</v>
      </c>
      <c r="T98" s="57">
        <f t="shared" si="24"/>
        <v>0</v>
      </c>
      <c r="U98" s="57">
        <f t="shared" si="25"/>
        <v>0.1</v>
      </c>
      <c r="V98" s="57">
        <f t="shared" si="26"/>
        <v>0</v>
      </c>
    </row>
    <row r="99" spans="1:22" ht="17" x14ac:dyDescent="0.2">
      <c r="A99" s="64" t="s">
        <v>10</v>
      </c>
      <c r="B99" s="65">
        <v>0.1</v>
      </c>
      <c r="C99" s="65">
        <v>0.05</v>
      </c>
      <c r="D99" s="65">
        <v>0</v>
      </c>
      <c r="E99" s="65">
        <v>0</v>
      </c>
      <c r="F99" s="65">
        <v>0</v>
      </c>
      <c r="G99" s="65">
        <v>0</v>
      </c>
      <c r="H99" s="65">
        <v>0</v>
      </c>
      <c r="I99" s="65">
        <v>0</v>
      </c>
      <c r="J99" s="65">
        <v>0</v>
      </c>
      <c r="K99" s="65">
        <v>0.3</v>
      </c>
      <c r="L99" s="65">
        <v>0</v>
      </c>
      <c r="M99" s="65">
        <v>0</v>
      </c>
      <c r="N99" s="65">
        <v>0.35</v>
      </c>
      <c r="O99" s="65">
        <v>0</v>
      </c>
      <c r="P99" s="65">
        <v>0</v>
      </c>
      <c r="Q99" s="66">
        <f t="shared" si="22"/>
        <v>0.19999999999999996</v>
      </c>
      <c r="R99" s="65">
        <f t="shared" si="27"/>
        <v>0.39999999999999997</v>
      </c>
      <c r="S99" s="57">
        <f t="shared" si="23"/>
        <v>1</v>
      </c>
      <c r="T99" s="57">
        <f t="shared" si="24"/>
        <v>0</v>
      </c>
      <c r="U99" s="57">
        <f t="shared" si="25"/>
        <v>0.4</v>
      </c>
      <c r="V99" s="57">
        <f t="shared" si="26"/>
        <v>0.35</v>
      </c>
    </row>
    <row r="100" spans="1:22" ht="17" x14ac:dyDescent="0.2">
      <c r="A100" s="64" t="s">
        <v>11</v>
      </c>
      <c r="B100" s="65">
        <v>0.1</v>
      </c>
      <c r="C100" s="65">
        <v>0.05</v>
      </c>
      <c r="D100" s="65">
        <v>0</v>
      </c>
      <c r="E100" s="65">
        <v>0</v>
      </c>
      <c r="F100" s="65">
        <v>0</v>
      </c>
      <c r="G100" s="65">
        <v>0</v>
      </c>
      <c r="H100" s="65">
        <v>0</v>
      </c>
      <c r="I100" s="65">
        <v>0</v>
      </c>
      <c r="J100" s="65">
        <v>0</v>
      </c>
      <c r="K100" s="65">
        <v>0.3</v>
      </c>
      <c r="L100" s="65">
        <v>0</v>
      </c>
      <c r="M100" s="65">
        <v>0</v>
      </c>
      <c r="N100" s="65">
        <v>0</v>
      </c>
      <c r="O100" s="65">
        <v>0.35</v>
      </c>
      <c r="P100" s="65">
        <v>0</v>
      </c>
      <c r="Q100" s="66">
        <f t="shared" si="22"/>
        <v>0.19999999999999996</v>
      </c>
      <c r="R100" s="65">
        <f t="shared" si="27"/>
        <v>0.39999999999999997</v>
      </c>
      <c r="S100" s="57">
        <f t="shared" si="23"/>
        <v>1</v>
      </c>
      <c r="T100" s="57">
        <f t="shared" si="24"/>
        <v>0</v>
      </c>
      <c r="U100" s="57">
        <f t="shared" si="25"/>
        <v>0.4</v>
      </c>
      <c r="V100" s="57">
        <f t="shared" si="26"/>
        <v>0.35</v>
      </c>
    </row>
    <row r="101" spans="1:22" ht="17" x14ac:dyDescent="0.2">
      <c r="A101" s="64" t="s">
        <v>25</v>
      </c>
      <c r="B101" s="65">
        <f>B100</f>
        <v>0.1</v>
      </c>
      <c r="C101" s="65">
        <f t="shared" ref="C101:P102" si="28">C100</f>
        <v>0.05</v>
      </c>
      <c r="D101" s="65">
        <f t="shared" si="28"/>
        <v>0</v>
      </c>
      <c r="E101" s="65">
        <f t="shared" si="28"/>
        <v>0</v>
      </c>
      <c r="F101" s="65">
        <f t="shared" si="28"/>
        <v>0</v>
      </c>
      <c r="G101" s="65">
        <f t="shared" si="28"/>
        <v>0</v>
      </c>
      <c r="H101" s="65">
        <f t="shared" si="28"/>
        <v>0</v>
      </c>
      <c r="I101" s="65">
        <f t="shared" si="28"/>
        <v>0</v>
      </c>
      <c r="J101" s="65">
        <f t="shared" si="28"/>
        <v>0</v>
      </c>
      <c r="K101" s="65">
        <f t="shared" si="28"/>
        <v>0.3</v>
      </c>
      <c r="L101" s="65">
        <f t="shared" si="28"/>
        <v>0</v>
      </c>
      <c r="M101" s="65">
        <f t="shared" si="28"/>
        <v>0</v>
      </c>
      <c r="N101" s="65">
        <f t="shared" si="28"/>
        <v>0</v>
      </c>
      <c r="O101" s="65">
        <f t="shared" si="28"/>
        <v>0.35</v>
      </c>
      <c r="P101" s="65">
        <f t="shared" si="28"/>
        <v>0</v>
      </c>
      <c r="Q101" s="66">
        <f t="shared" si="22"/>
        <v>0.19999999999999996</v>
      </c>
      <c r="R101" s="65">
        <f t="shared" si="27"/>
        <v>0.39999999999999997</v>
      </c>
      <c r="S101" s="57">
        <f t="shared" si="23"/>
        <v>1</v>
      </c>
      <c r="T101" s="57">
        <f t="shared" si="24"/>
        <v>0</v>
      </c>
      <c r="U101" s="57">
        <f t="shared" si="25"/>
        <v>0.4</v>
      </c>
      <c r="V101" s="57">
        <f t="shared" si="26"/>
        <v>0.35</v>
      </c>
    </row>
    <row r="102" spans="1:22" ht="17" x14ac:dyDescent="0.2">
      <c r="A102" s="64" t="s">
        <v>7</v>
      </c>
      <c r="B102" s="65">
        <v>0</v>
      </c>
      <c r="C102" s="65">
        <f t="shared" si="28"/>
        <v>0.05</v>
      </c>
      <c r="D102" s="65">
        <v>0</v>
      </c>
      <c r="E102" s="65">
        <v>0</v>
      </c>
      <c r="F102" s="65">
        <v>0</v>
      </c>
      <c r="G102" s="65">
        <v>0</v>
      </c>
      <c r="H102" s="65">
        <v>0</v>
      </c>
      <c r="I102" s="65">
        <v>0</v>
      </c>
      <c r="J102" s="65">
        <v>0</v>
      </c>
      <c r="K102" s="65">
        <v>0</v>
      </c>
      <c r="L102" s="65">
        <v>0</v>
      </c>
      <c r="M102" s="65">
        <v>0</v>
      </c>
      <c r="N102" s="65">
        <v>0</v>
      </c>
      <c r="O102" s="65">
        <v>0</v>
      </c>
      <c r="P102" s="65">
        <v>0</v>
      </c>
      <c r="Q102" s="66">
        <f t="shared" si="22"/>
        <v>0.95</v>
      </c>
      <c r="R102" s="65">
        <f t="shared" si="27"/>
        <v>0.05</v>
      </c>
      <c r="S102" s="57">
        <f t="shared" si="23"/>
        <v>1</v>
      </c>
      <c r="T102" s="57">
        <f t="shared" si="24"/>
        <v>0</v>
      </c>
      <c r="U102" s="57">
        <f t="shared" si="25"/>
        <v>0</v>
      </c>
      <c r="V102" s="57">
        <f t="shared" si="26"/>
        <v>0</v>
      </c>
    </row>
    <row r="103" spans="1:22" ht="17" x14ac:dyDescent="0.2">
      <c r="A103" s="64" t="s">
        <v>2</v>
      </c>
      <c r="B103" s="65">
        <v>0</v>
      </c>
      <c r="C103" s="65">
        <v>0.5</v>
      </c>
      <c r="D103" s="65">
        <v>0</v>
      </c>
      <c r="E103" s="65">
        <v>0.2</v>
      </c>
      <c r="F103" s="65">
        <v>0</v>
      </c>
      <c r="G103" s="65">
        <v>0.1</v>
      </c>
      <c r="H103" s="65">
        <v>0</v>
      </c>
      <c r="I103" s="65">
        <v>0</v>
      </c>
      <c r="J103" s="65">
        <v>0.2</v>
      </c>
      <c r="K103" s="65">
        <v>0</v>
      </c>
      <c r="L103" s="65">
        <v>0</v>
      </c>
      <c r="M103" s="65">
        <v>0</v>
      </c>
      <c r="N103" s="65">
        <v>0</v>
      </c>
      <c r="O103" s="65">
        <v>0</v>
      </c>
      <c r="P103" s="65">
        <v>0</v>
      </c>
      <c r="Q103" s="66">
        <f t="shared" si="22"/>
        <v>0</v>
      </c>
      <c r="R103" s="65">
        <f t="shared" si="27"/>
        <v>1</v>
      </c>
      <c r="S103" s="57">
        <f t="shared" si="23"/>
        <v>1</v>
      </c>
      <c r="T103" s="57">
        <f t="shared" si="24"/>
        <v>0.5</v>
      </c>
      <c r="U103" s="57">
        <f t="shared" si="25"/>
        <v>0</v>
      </c>
      <c r="V103" s="57">
        <f t="shared" si="26"/>
        <v>0</v>
      </c>
    </row>
    <row r="104" spans="1:22" ht="17" x14ac:dyDescent="0.2">
      <c r="A104" s="64" t="s">
        <v>30</v>
      </c>
      <c r="B104" s="65">
        <v>0.1</v>
      </c>
      <c r="C104" s="65">
        <v>0</v>
      </c>
      <c r="D104" s="65">
        <v>0</v>
      </c>
      <c r="E104" s="65">
        <v>0</v>
      </c>
      <c r="F104" s="65">
        <v>0</v>
      </c>
      <c r="G104" s="65">
        <v>0</v>
      </c>
      <c r="H104" s="65">
        <v>0</v>
      </c>
      <c r="I104" s="65">
        <v>0</v>
      </c>
      <c r="J104" s="65">
        <v>0.2</v>
      </c>
      <c r="K104" s="65">
        <v>0</v>
      </c>
      <c r="L104" s="65">
        <v>0</v>
      </c>
      <c r="M104" s="65">
        <v>0</v>
      </c>
      <c r="N104" s="65">
        <v>0</v>
      </c>
      <c r="O104" s="65">
        <v>0</v>
      </c>
      <c r="P104" s="65">
        <v>0</v>
      </c>
      <c r="Q104" s="66">
        <f t="shared" si="22"/>
        <v>0.7</v>
      </c>
      <c r="R104" s="65">
        <f t="shared" si="27"/>
        <v>0.2</v>
      </c>
      <c r="S104" s="57">
        <f t="shared" si="23"/>
        <v>1</v>
      </c>
      <c r="T104" s="57">
        <f t="shared" si="24"/>
        <v>0.2</v>
      </c>
      <c r="U104" s="57">
        <f t="shared" si="25"/>
        <v>0.1</v>
      </c>
      <c r="V104" s="57">
        <f t="shared" si="26"/>
        <v>0</v>
      </c>
    </row>
    <row r="105" spans="1:22" ht="17" x14ac:dyDescent="0.2">
      <c r="A105" s="64" t="s">
        <v>31</v>
      </c>
      <c r="B105" s="65">
        <v>0</v>
      </c>
      <c r="C105" s="65">
        <v>0.8</v>
      </c>
      <c r="D105" s="65">
        <v>0</v>
      </c>
      <c r="E105" s="65">
        <v>0</v>
      </c>
      <c r="F105" s="65">
        <v>0</v>
      </c>
      <c r="G105" s="65">
        <v>0</v>
      </c>
      <c r="H105" s="65">
        <v>0</v>
      </c>
      <c r="I105" s="65">
        <v>0</v>
      </c>
      <c r="J105" s="65">
        <v>0</v>
      </c>
      <c r="K105" s="65">
        <v>0</v>
      </c>
      <c r="L105" s="65">
        <v>0</v>
      </c>
      <c r="M105" s="65">
        <v>0</v>
      </c>
      <c r="N105" s="65">
        <v>0</v>
      </c>
      <c r="O105" s="65">
        <v>0</v>
      </c>
      <c r="P105" s="65">
        <v>0</v>
      </c>
      <c r="Q105" s="66">
        <f t="shared" si="22"/>
        <v>0.19999999999999996</v>
      </c>
      <c r="R105" s="65">
        <f t="shared" si="27"/>
        <v>0.8</v>
      </c>
      <c r="S105" s="57">
        <f t="shared" si="23"/>
        <v>1</v>
      </c>
      <c r="T105" s="57">
        <f t="shared" si="24"/>
        <v>0</v>
      </c>
      <c r="U105" s="57">
        <f t="shared" si="25"/>
        <v>0</v>
      </c>
      <c r="V105" s="57">
        <f t="shared" si="26"/>
        <v>0</v>
      </c>
    </row>
    <row r="106" spans="1:22" ht="17" x14ac:dyDescent="0.2">
      <c r="A106" s="64" t="s">
        <v>122</v>
      </c>
      <c r="B106" s="65">
        <v>0.1</v>
      </c>
      <c r="C106" s="65">
        <v>0</v>
      </c>
      <c r="D106" s="65">
        <v>0</v>
      </c>
      <c r="E106" s="65">
        <v>0.4</v>
      </c>
      <c r="F106" s="65">
        <v>0</v>
      </c>
      <c r="G106" s="65">
        <v>0.4</v>
      </c>
      <c r="H106" s="65">
        <v>0</v>
      </c>
      <c r="I106" s="65">
        <v>0</v>
      </c>
      <c r="J106" s="65">
        <v>0</v>
      </c>
      <c r="K106" s="65">
        <v>0</v>
      </c>
      <c r="L106" s="65">
        <v>0</v>
      </c>
      <c r="M106" s="65">
        <v>0</v>
      </c>
      <c r="N106" s="65">
        <v>0</v>
      </c>
      <c r="O106" s="65">
        <v>0</v>
      </c>
      <c r="P106" s="65">
        <v>0</v>
      </c>
      <c r="Q106" s="66">
        <f t="shared" si="22"/>
        <v>9.9999999999999978E-2</v>
      </c>
      <c r="R106" s="65">
        <f t="shared" si="27"/>
        <v>0.8</v>
      </c>
      <c r="S106" s="57">
        <f t="shared" si="23"/>
        <v>1</v>
      </c>
      <c r="T106" s="57">
        <f t="shared" si="24"/>
        <v>0.8</v>
      </c>
      <c r="U106" s="57">
        <f t="shared" si="25"/>
        <v>0.1</v>
      </c>
      <c r="V106" s="57">
        <f t="shared" si="26"/>
        <v>0</v>
      </c>
    </row>
    <row r="107" spans="1:22" ht="17" x14ac:dyDescent="0.2">
      <c r="A107" s="64" t="s">
        <v>32</v>
      </c>
      <c r="B107" s="65">
        <v>0</v>
      </c>
      <c r="C107" s="65">
        <v>0.8</v>
      </c>
      <c r="D107" s="65">
        <v>0</v>
      </c>
      <c r="E107" s="65">
        <v>0</v>
      </c>
      <c r="F107" s="65">
        <v>0</v>
      </c>
      <c r="G107" s="65">
        <v>0</v>
      </c>
      <c r="H107" s="65">
        <v>0</v>
      </c>
      <c r="I107" s="65">
        <v>0</v>
      </c>
      <c r="J107" s="65">
        <v>0</v>
      </c>
      <c r="K107" s="65">
        <v>0</v>
      </c>
      <c r="L107" s="65">
        <v>0</v>
      </c>
      <c r="M107" s="65">
        <v>0</v>
      </c>
      <c r="N107" s="65">
        <v>0</v>
      </c>
      <c r="O107" s="65">
        <v>0</v>
      </c>
      <c r="P107" s="65">
        <v>0</v>
      </c>
      <c r="Q107" s="66">
        <f t="shared" si="22"/>
        <v>0.19999999999999996</v>
      </c>
      <c r="R107" s="65">
        <f t="shared" si="27"/>
        <v>0.8</v>
      </c>
      <c r="S107" s="57">
        <f t="shared" si="23"/>
        <v>1</v>
      </c>
      <c r="T107" s="57">
        <f t="shared" si="24"/>
        <v>0</v>
      </c>
      <c r="U107" s="57">
        <f t="shared" si="25"/>
        <v>0</v>
      </c>
      <c r="V107" s="57">
        <f t="shared" si="26"/>
        <v>0</v>
      </c>
    </row>
    <row r="108" spans="1:22" ht="34" x14ac:dyDescent="0.2">
      <c r="A108" s="64" t="s">
        <v>105</v>
      </c>
      <c r="B108" s="114">
        <v>0</v>
      </c>
      <c r="C108" s="114">
        <v>0</v>
      </c>
      <c r="D108" s="114">
        <v>0</v>
      </c>
      <c r="E108" s="114">
        <v>0</v>
      </c>
      <c r="F108" s="114">
        <v>0</v>
      </c>
      <c r="G108" s="114">
        <v>0</v>
      </c>
      <c r="H108" s="114">
        <v>0</v>
      </c>
      <c r="I108" s="114">
        <v>0</v>
      </c>
      <c r="J108" s="114">
        <v>0</v>
      </c>
      <c r="K108" s="114">
        <v>0</v>
      </c>
      <c r="L108" s="114">
        <v>0</v>
      </c>
      <c r="M108" s="114">
        <v>0</v>
      </c>
      <c r="N108" s="114">
        <v>0</v>
      </c>
      <c r="O108" s="114">
        <v>0</v>
      </c>
      <c r="P108" s="114">
        <v>0.81</v>
      </c>
      <c r="Q108" s="115">
        <f t="shared" si="22"/>
        <v>0.18999999999999995</v>
      </c>
      <c r="R108" s="116">
        <f>SUM(C108:J108,L108:P108)</f>
        <v>0.81</v>
      </c>
      <c r="S108" s="57">
        <f t="shared" si="23"/>
        <v>1</v>
      </c>
      <c r="T108" s="57">
        <f t="shared" si="24"/>
        <v>0</v>
      </c>
      <c r="U108" s="57">
        <f t="shared" si="25"/>
        <v>0</v>
      </c>
      <c r="V108" s="57">
        <f t="shared" si="26"/>
        <v>0</v>
      </c>
    </row>
    <row r="109" spans="1:22" x14ac:dyDescent="0.2">
      <c r="A109" s="40" t="s">
        <v>576</v>
      </c>
      <c r="B109" s="117">
        <f>B95</f>
        <v>0.1</v>
      </c>
      <c r="C109" s="117">
        <f t="shared" ref="C109:P109" si="29">C95</f>
        <v>0</v>
      </c>
      <c r="D109" s="117">
        <f t="shared" si="29"/>
        <v>0</v>
      </c>
      <c r="E109" s="117">
        <f t="shared" si="29"/>
        <v>0</v>
      </c>
      <c r="F109" s="117">
        <f t="shared" si="29"/>
        <v>0</v>
      </c>
      <c r="G109" s="117">
        <f t="shared" si="29"/>
        <v>0</v>
      </c>
      <c r="H109" s="117">
        <f t="shared" si="29"/>
        <v>0</v>
      </c>
      <c r="I109" s="117">
        <f t="shared" si="29"/>
        <v>0</v>
      </c>
      <c r="J109" s="117">
        <f t="shared" si="29"/>
        <v>0</v>
      </c>
      <c r="K109" s="117">
        <f t="shared" si="29"/>
        <v>0</v>
      </c>
      <c r="L109" s="117">
        <f t="shared" si="29"/>
        <v>0</v>
      </c>
      <c r="M109" s="117">
        <f t="shared" si="29"/>
        <v>0</v>
      </c>
      <c r="N109" s="117">
        <f t="shared" si="29"/>
        <v>0</v>
      </c>
      <c r="O109" s="117">
        <f t="shared" si="29"/>
        <v>0</v>
      </c>
      <c r="P109" s="117">
        <f t="shared" si="29"/>
        <v>0</v>
      </c>
      <c r="Q109" s="118">
        <f t="shared" si="22"/>
        <v>0.9</v>
      </c>
      <c r="R109" s="117">
        <f t="shared" ref="R109:R110" si="30">SUM(C109:J109,L109:P109)</f>
        <v>0</v>
      </c>
      <c r="S109" s="57">
        <f t="shared" si="23"/>
        <v>1</v>
      </c>
      <c r="T109" s="57">
        <f t="shared" ref="T109:T110" si="31">SUM(D109:G109,I109:J109,L109:M109)</f>
        <v>0</v>
      </c>
      <c r="U109" s="57">
        <f t="shared" ref="U109:U110" si="32">B109+K109</f>
        <v>0.1</v>
      </c>
      <c r="V109" s="57">
        <f t="shared" ref="V109:V110" si="33">SUM(N109:O109)</f>
        <v>0</v>
      </c>
    </row>
    <row r="110" spans="1:22" x14ac:dyDescent="0.2">
      <c r="A110" s="40" t="s">
        <v>575</v>
      </c>
      <c r="B110" s="117">
        <f>B95</f>
        <v>0.1</v>
      </c>
      <c r="C110" s="117">
        <f t="shared" ref="C110:P110" si="34">C95</f>
        <v>0</v>
      </c>
      <c r="D110" s="117">
        <f t="shared" si="34"/>
        <v>0</v>
      </c>
      <c r="E110" s="117">
        <f t="shared" si="34"/>
        <v>0</v>
      </c>
      <c r="F110" s="117">
        <f t="shared" si="34"/>
        <v>0</v>
      </c>
      <c r="G110" s="117">
        <f t="shared" si="34"/>
        <v>0</v>
      </c>
      <c r="H110" s="117">
        <f t="shared" si="34"/>
        <v>0</v>
      </c>
      <c r="I110" s="117">
        <f t="shared" si="34"/>
        <v>0</v>
      </c>
      <c r="J110" s="117">
        <f t="shared" si="34"/>
        <v>0</v>
      </c>
      <c r="K110" s="117">
        <f t="shared" si="34"/>
        <v>0</v>
      </c>
      <c r="L110" s="117">
        <f t="shared" si="34"/>
        <v>0</v>
      </c>
      <c r="M110" s="117">
        <f t="shared" si="34"/>
        <v>0</v>
      </c>
      <c r="N110" s="117">
        <f t="shared" si="34"/>
        <v>0</v>
      </c>
      <c r="O110" s="117">
        <f t="shared" si="34"/>
        <v>0</v>
      </c>
      <c r="P110" s="117">
        <f t="shared" si="34"/>
        <v>0</v>
      </c>
      <c r="Q110" s="118">
        <f t="shared" si="22"/>
        <v>0.9</v>
      </c>
      <c r="R110" s="117">
        <f t="shared" si="30"/>
        <v>0</v>
      </c>
      <c r="S110" s="57">
        <f t="shared" si="23"/>
        <v>1</v>
      </c>
      <c r="T110" s="57">
        <f t="shared" si="31"/>
        <v>0</v>
      </c>
      <c r="U110" s="57">
        <f t="shared" si="32"/>
        <v>0.1</v>
      </c>
      <c r="V110" s="57">
        <f t="shared" si="33"/>
        <v>0</v>
      </c>
    </row>
    <row r="111" spans="1:22" x14ac:dyDescent="0.2">
      <c r="A111" t="s">
        <v>233</v>
      </c>
      <c r="B111" s="69"/>
      <c r="C111" s="69"/>
      <c r="D111" s="69"/>
      <c r="E111" s="69"/>
      <c r="F111" s="69"/>
      <c r="G111" s="69"/>
      <c r="H111" s="69"/>
      <c r="I111" s="69"/>
      <c r="J111" s="69"/>
      <c r="K111" s="69"/>
      <c r="L111" s="69"/>
      <c r="M111" s="69"/>
      <c r="N111" s="69"/>
      <c r="O111" s="69"/>
      <c r="P111" s="69"/>
      <c r="Q111" s="69"/>
    </row>
    <row r="112" spans="1:22" x14ac:dyDescent="0.2">
      <c r="A112" t="s">
        <v>912</v>
      </c>
      <c r="B112" s="69"/>
      <c r="C112" s="69"/>
      <c r="D112" s="69"/>
      <c r="E112" s="69"/>
      <c r="F112" s="69"/>
      <c r="G112" s="69"/>
      <c r="H112" s="69"/>
      <c r="I112" s="69"/>
      <c r="J112" s="69"/>
      <c r="K112" s="69"/>
      <c r="L112" s="69"/>
      <c r="M112" s="69"/>
      <c r="N112" s="69"/>
      <c r="O112" s="69"/>
      <c r="P112" s="69"/>
      <c r="Q112" s="69"/>
    </row>
    <row r="114" spans="1:22" x14ac:dyDescent="0.2">
      <c r="A114" s="61" t="s">
        <v>232</v>
      </c>
      <c r="T114" s="185" t="s">
        <v>363</v>
      </c>
      <c r="U114" s="185"/>
      <c r="V114" s="185"/>
    </row>
    <row r="115" spans="1:22" ht="68" x14ac:dyDescent="0.2">
      <c r="A115" s="62" t="s">
        <v>212</v>
      </c>
      <c r="B115" s="63" t="s">
        <v>213</v>
      </c>
      <c r="C115" s="63" t="s">
        <v>215</v>
      </c>
      <c r="D115" s="63" t="s">
        <v>216</v>
      </c>
      <c r="E115" s="63" t="s">
        <v>217</v>
      </c>
      <c r="F115" s="63" t="s">
        <v>218</v>
      </c>
      <c r="G115" s="63" t="s">
        <v>219</v>
      </c>
      <c r="H115" s="63" t="s">
        <v>302</v>
      </c>
      <c r="I115" s="63" t="s">
        <v>220</v>
      </c>
      <c r="J115" s="63" t="s">
        <v>221</v>
      </c>
      <c r="K115" s="63" t="s">
        <v>222</v>
      </c>
      <c r="L115" s="63" t="s">
        <v>223</v>
      </c>
      <c r="M115" s="63" t="s">
        <v>224</v>
      </c>
      <c r="N115" s="63" t="s">
        <v>225</v>
      </c>
      <c r="O115" s="63" t="s">
        <v>226</v>
      </c>
      <c r="P115" s="63" t="s">
        <v>279</v>
      </c>
      <c r="Q115" s="62" t="s">
        <v>210</v>
      </c>
      <c r="R115" s="63" t="s">
        <v>278</v>
      </c>
      <c r="S115" s="73" t="s">
        <v>110</v>
      </c>
      <c r="T115" s="89" t="s">
        <v>283</v>
      </c>
      <c r="U115" s="89" t="s">
        <v>293</v>
      </c>
      <c r="V115" s="89" t="s">
        <v>282</v>
      </c>
    </row>
    <row r="116" spans="1:22" ht="17" x14ac:dyDescent="0.2">
      <c r="A116" s="64" t="s">
        <v>82</v>
      </c>
      <c r="B116" s="65">
        <v>0</v>
      </c>
      <c r="C116" s="65">
        <v>0</v>
      </c>
      <c r="D116" s="65">
        <v>0</v>
      </c>
      <c r="E116" s="65">
        <v>0.55000000000000004</v>
      </c>
      <c r="F116" s="65">
        <v>0.05</v>
      </c>
      <c r="G116" s="65">
        <v>0.15</v>
      </c>
      <c r="H116" s="65">
        <v>0</v>
      </c>
      <c r="I116" s="65">
        <v>0.05</v>
      </c>
      <c r="J116" s="65">
        <v>0</v>
      </c>
      <c r="K116" s="65">
        <v>0</v>
      </c>
      <c r="L116" s="65">
        <v>0.15</v>
      </c>
      <c r="M116" s="65">
        <v>0.05</v>
      </c>
      <c r="N116" s="65">
        <v>0</v>
      </c>
      <c r="O116" s="65">
        <v>0</v>
      </c>
      <c r="P116" s="65">
        <v>0</v>
      </c>
      <c r="Q116" s="66">
        <f t="shared" ref="Q116:Q132" si="35">1-SUM(B116:P116)</f>
        <v>0</v>
      </c>
      <c r="R116" s="65">
        <f>SUM(C116:J116,L116:O116)</f>
        <v>1.0000000000000002</v>
      </c>
      <c r="S116" s="57">
        <f>SUM(B116:Q116)</f>
        <v>1.0000000000000002</v>
      </c>
      <c r="T116" s="57">
        <f>SUM(D116:G116,I116:J116,L116:M116)</f>
        <v>1.0000000000000002</v>
      </c>
      <c r="U116" s="57">
        <f>B116+K116</f>
        <v>0</v>
      </c>
      <c r="V116" s="57">
        <f>SUM(N116:O116)</f>
        <v>0</v>
      </c>
    </row>
    <row r="117" spans="1:22" ht="17" x14ac:dyDescent="0.2">
      <c r="A117" s="64" t="s">
        <v>127</v>
      </c>
      <c r="B117" s="65">
        <v>0.1</v>
      </c>
      <c r="C117" s="65">
        <v>0</v>
      </c>
      <c r="D117" s="65">
        <v>0</v>
      </c>
      <c r="E117" s="65">
        <v>0</v>
      </c>
      <c r="F117" s="65">
        <v>0</v>
      </c>
      <c r="G117" s="65">
        <v>0</v>
      </c>
      <c r="H117" s="65">
        <v>0</v>
      </c>
      <c r="I117" s="65">
        <v>0</v>
      </c>
      <c r="J117" s="65">
        <v>0</v>
      </c>
      <c r="K117" s="65">
        <v>0.3</v>
      </c>
      <c r="L117" s="65">
        <v>0</v>
      </c>
      <c r="M117" s="65">
        <v>0</v>
      </c>
      <c r="N117" s="65">
        <v>0</v>
      </c>
      <c r="O117" s="65">
        <v>0</v>
      </c>
      <c r="P117" s="65">
        <v>0</v>
      </c>
      <c r="Q117" s="66">
        <f t="shared" si="35"/>
        <v>0.6</v>
      </c>
      <c r="R117" s="65">
        <f t="shared" ref="R117" si="36">SUM(C117:J117,L117:O117)</f>
        <v>0</v>
      </c>
      <c r="S117" s="57">
        <f t="shared" ref="S117:S132" si="37">SUM(B117:Q117)</f>
        <v>1</v>
      </c>
      <c r="T117" s="57">
        <f t="shared" ref="T117:T130" si="38">SUM(D117:G117,I117:J117,L117:M117)</f>
        <v>0</v>
      </c>
      <c r="U117" s="57">
        <f t="shared" ref="U117:U130" si="39">B117+K117</f>
        <v>0.4</v>
      </c>
      <c r="V117" s="57">
        <f t="shared" ref="V117:V130" si="40">SUM(N117:O117)</f>
        <v>0</v>
      </c>
    </row>
    <row r="118" spans="1:22" ht="17" x14ac:dyDescent="0.2">
      <c r="A118" s="64" t="s">
        <v>8</v>
      </c>
      <c r="B118" s="65">
        <v>0.1</v>
      </c>
      <c r="C118" s="65">
        <f>C96+0.05</f>
        <v>0.2</v>
      </c>
      <c r="D118" s="65">
        <v>0</v>
      </c>
      <c r="E118" s="65">
        <v>0</v>
      </c>
      <c r="F118" s="65">
        <v>0</v>
      </c>
      <c r="G118" s="65">
        <v>0</v>
      </c>
      <c r="H118" s="65">
        <v>0</v>
      </c>
      <c r="I118" s="65">
        <v>0</v>
      </c>
      <c r="J118" s="65">
        <v>0</v>
      </c>
      <c r="K118" s="65">
        <v>0.6</v>
      </c>
      <c r="L118" s="65">
        <v>0</v>
      </c>
      <c r="M118" s="65">
        <v>0</v>
      </c>
      <c r="N118" s="65">
        <v>0</v>
      </c>
      <c r="O118" s="65">
        <v>0</v>
      </c>
      <c r="P118" s="65">
        <v>0</v>
      </c>
      <c r="Q118" s="66">
        <f t="shared" si="35"/>
        <v>9.9999999999999978E-2</v>
      </c>
      <c r="R118" s="65">
        <f t="shared" ref="R118:R129" si="41">SUM(C118:J118,L118:O118)</f>
        <v>0.2</v>
      </c>
      <c r="S118" s="57">
        <f t="shared" si="37"/>
        <v>1</v>
      </c>
      <c r="T118" s="57">
        <f t="shared" si="38"/>
        <v>0</v>
      </c>
      <c r="U118" s="57">
        <f t="shared" si="39"/>
        <v>0.7</v>
      </c>
      <c r="V118" s="57">
        <f t="shared" si="40"/>
        <v>0</v>
      </c>
    </row>
    <row r="119" spans="1:22" ht="17" x14ac:dyDescent="0.2">
      <c r="A119" s="64" t="s">
        <v>19</v>
      </c>
      <c r="B119" s="65">
        <v>0.1</v>
      </c>
      <c r="C119" s="65">
        <f>C97+0.05</f>
        <v>0.2</v>
      </c>
      <c r="D119" s="65">
        <v>0</v>
      </c>
      <c r="E119" s="65">
        <v>0</v>
      </c>
      <c r="F119" s="65">
        <v>0</v>
      </c>
      <c r="G119" s="65">
        <v>0</v>
      </c>
      <c r="H119" s="65">
        <v>0</v>
      </c>
      <c r="I119" s="65">
        <v>0</v>
      </c>
      <c r="J119" s="65">
        <v>0</v>
      </c>
      <c r="K119" s="65">
        <v>0.6</v>
      </c>
      <c r="L119" s="65">
        <v>0</v>
      </c>
      <c r="M119" s="65">
        <v>0</v>
      </c>
      <c r="N119" s="65">
        <v>0</v>
      </c>
      <c r="O119" s="65">
        <v>0</v>
      </c>
      <c r="P119" s="65">
        <v>0</v>
      </c>
      <c r="Q119" s="66">
        <f t="shared" si="35"/>
        <v>9.9999999999999978E-2</v>
      </c>
      <c r="R119" s="65">
        <f t="shared" si="41"/>
        <v>0.2</v>
      </c>
      <c r="S119" s="57">
        <f t="shared" si="37"/>
        <v>1</v>
      </c>
      <c r="T119" s="57">
        <f t="shared" si="38"/>
        <v>0</v>
      </c>
      <c r="U119" s="57">
        <f t="shared" si="39"/>
        <v>0.7</v>
      </c>
      <c r="V119" s="57">
        <f t="shared" si="40"/>
        <v>0</v>
      </c>
    </row>
    <row r="120" spans="1:22" ht="17" x14ac:dyDescent="0.2">
      <c r="A120" s="64" t="s">
        <v>1</v>
      </c>
      <c r="B120" s="65">
        <v>0</v>
      </c>
      <c r="C120" s="65">
        <v>0.9</v>
      </c>
      <c r="D120" s="65">
        <v>0</v>
      </c>
      <c r="E120" s="65">
        <v>0</v>
      </c>
      <c r="F120" s="65">
        <v>0</v>
      </c>
      <c r="G120" s="65">
        <v>0</v>
      </c>
      <c r="H120" s="65">
        <v>0</v>
      </c>
      <c r="I120" s="65">
        <v>0</v>
      </c>
      <c r="J120" s="65">
        <v>0</v>
      </c>
      <c r="K120" s="65">
        <v>0.1</v>
      </c>
      <c r="L120" s="65">
        <v>0</v>
      </c>
      <c r="M120" s="65">
        <v>0</v>
      </c>
      <c r="N120" s="65">
        <v>0</v>
      </c>
      <c r="O120" s="65">
        <v>0</v>
      </c>
      <c r="P120" s="65">
        <v>0</v>
      </c>
      <c r="Q120" s="66">
        <f t="shared" si="35"/>
        <v>0</v>
      </c>
      <c r="R120" s="65">
        <f t="shared" si="41"/>
        <v>0.9</v>
      </c>
      <c r="S120" s="57">
        <f t="shared" si="37"/>
        <v>1</v>
      </c>
      <c r="T120" s="57">
        <f t="shared" si="38"/>
        <v>0</v>
      </c>
      <c r="U120" s="57">
        <f t="shared" si="39"/>
        <v>0.1</v>
      </c>
      <c r="V120" s="57">
        <f t="shared" si="40"/>
        <v>0</v>
      </c>
    </row>
    <row r="121" spans="1:22" ht="17" x14ac:dyDescent="0.2">
      <c r="A121" s="64" t="s">
        <v>10</v>
      </c>
      <c r="B121" s="65">
        <v>0</v>
      </c>
      <c r="C121" s="65">
        <f>C99+0.05</f>
        <v>0.1</v>
      </c>
      <c r="D121" s="65">
        <v>0</v>
      </c>
      <c r="E121" s="65">
        <v>0</v>
      </c>
      <c r="F121" s="65">
        <v>0</v>
      </c>
      <c r="G121" s="65">
        <v>0</v>
      </c>
      <c r="H121" s="65">
        <v>0</v>
      </c>
      <c r="I121" s="65">
        <v>0</v>
      </c>
      <c r="J121" s="65">
        <v>0</v>
      </c>
      <c r="K121" s="65">
        <v>0.3</v>
      </c>
      <c r="L121" s="65">
        <v>0</v>
      </c>
      <c r="M121" s="65">
        <v>0</v>
      </c>
      <c r="N121" s="65">
        <v>0.5</v>
      </c>
      <c r="O121" s="65">
        <v>0</v>
      </c>
      <c r="P121" s="65">
        <v>0</v>
      </c>
      <c r="Q121" s="66">
        <f t="shared" si="35"/>
        <v>9.9999999999999978E-2</v>
      </c>
      <c r="R121" s="65">
        <f t="shared" si="41"/>
        <v>0.6</v>
      </c>
      <c r="S121" s="57">
        <f t="shared" si="37"/>
        <v>1</v>
      </c>
      <c r="T121" s="57">
        <f t="shared" si="38"/>
        <v>0</v>
      </c>
      <c r="U121" s="57">
        <f t="shared" si="39"/>
        <v>0.3</v>
      </c>
      <c r="V121" s="57">
        <f t="shared" si="40"/>
        <v>0.5</v>
      </c>
    </row>
    <row r="122" spans="1:22" ht="17" x14ac:dyDescent="0.2">
      <c r="A122" s="64" t="s">
        <v>11</v>
      </c>
      <c r="B122" s="65">
        <v>0</v>
      </c>
      <c r="C122" s="65">
        <f>C100+0.05</f>
        <v>0.1</v>
      </c>
      <c r="D122" s="65">
        <v>0</v>
      </c>
      <c r="E122" s="65">
        <v>0</v>
      </c>
      <c r="F122" s="65">
        <v>0</v>
      </c>
      <c r="G122" s="65">
        <v>0</v>
      </c>
      <c r="H122" s="65">
        <v>0</v>
      </c>
      <c r="I122" s="65">
        <v>0</v>
      </c>
      <c r="J122" s="65">
        <v>0</v>
      </c>
      <c r="K122" s="65">
        <v>0.3</v>
      </c>
      <c r="L122" s="65">
        <v>0</v>
      </c>
      <c r="M122" s="65">
        <v>0</v>
      </c>
      <c r="N122" s="65">
        <v>0</v>
      </c>
      <c r="O122" s="65">
        <v>0.5</v>
      </c>
      <c r="P122" s="65">
        <v>0</v>
      </c>
      <c r="Q122" s="66">
        <f t="shared" si="35"/>
        <v>9.9999999999999978E-2</v>
      </c>
      <c r="R122" s="65">
        <f t="shared" si="41"/>
        <v>0.6</v>
      </c>
      <c r="S122" s="57">
        <f t="shared" si="37"/>
        <v>1</v>
      </c>
      <c r="T122" s="57">
        <f t="shared" si="38"/>
        <v>0</v>
      </c>
      <c r="U122" s="57">
        <f t="shared" si="39"/>
        <v>0.3</v>
      </c>
      <c r="V122" s="57">
        <f t="shared" si="40"/>
        <v>0.5</v>
      </c>
    </row>
    <row r="123" spans="1:22" ht="17" x14ac:dyDescent="0.2">
      <c r="A123" s="64" t="s">
        <v>25</v>
      </c>
      <c r="B123" s="65">
        <f>B122</f>
        <v>0</v>
      </c>
      <c r="C123" s="65">
        <f t="shared" ref="C123:P123" si="42">C122</f>
        <v>0.1</v>
      </c>
      <c r="D123" s="65">
        <f t="shared" si="42"/>
        <v>0</v>
      </c>
      <c r="E123" s="65">
        <f t="shared" si="42"/>
        <v>0</v>
      </c>
      <c r="F123" s="65">
        <f t="shared" si="42"/>
        <v>0</v>
      </c>
      <c r="G123" s="65">
        <f t="shared" si="42"/>
        <v>0</v>
      </c>
      <c r="H123" s="65">
        <f t="shared" si="42"/>
        <v>0</v>
      </c>
      <c r="I123" s="65">
        <f t="shared" si="42"/>
        <v>0</v>
      </c>
      <c r="J123" s="65">
        <f t="shared" si="42"/>
        <v>0</v>
      </c>
      <c r="K123" s="65">
        <f t="shared" si="42"/>
        <v>0.3</v>
      </c>
      <c r="L123" s="65">
        <f t="shared" si="42"/>
        <v>0</v>
      </c>
      <c r="M123" s="65">
        <f t="shared" si="42"/>
        <v>0</v>
      </c>
      <c r="N123" s="65">
        <f t="shared" si="42"/>
        <v>0</v>
      </c>
      <c r="O123" s="65">
        <f t="shared" si="42"/>
        <v>0.5</v>
      </c>
      <c r="P123" s="65">
        <f t="shared" si="42"/>
        <v>0</v>
      </c>
      <c r="Q123" s="66">
        <f t="shared" si="35"/>
        <v>9.9999999999999978E-2</v>
      </c>
      <c r="R123" s="65">
        <f t="shared" si="41"/>
        <v>0.6</v>
      </c>
      <c r="S123" s="57">
        <f t="shared" si="37"/>
        <v>1</v>
      </c>
      <c r="T123" s="57">
        <f t="shared" si="38"/>
        <v>0</v>
      </c>
      <c r="U123" s="57">
        <f t="shared" si="39"/>
        <v>0.3</v>
      </c>
      <c r="V123" s="57">
        <f t="shared" si="40"/>
        <v>0.5</v>
      </c>
    </row>
    <row r="124" spans="1:22" ht="17" x14ac:dyDescent="0.2">
      <c r="A124" s="64" t="s">
        <v>7</v>
      </c>
      <c r="B124" s="65">
        <v>0</v>
      </c>
      <c r="C124" s="65">
        <v>0.5</v>
      </c>
      <c r="D124" s="65">
        <v>0</v>
      </c>
      <c r="E124" s="65">
        <v>0</v>
      </c>
      <c r="F124" s="65">
        <v>0</v>
      </c>
      <c r="G124" s="65">
        <v>0</v>
      </c>
      <c r="H124" s="65">
        <v>0</v>
      </c>
      <c r="I124" s="65">
        <v>0</v>
      </c>
      <c r="J124" s="65">
        <v>0</v>
      </c>
      <c r="K124" s="65">
        <v>0</v>
      </c>
      <c r="L124" s="65">
        <v>0</v>
      </c>
      <c r="M124" s="65">
        <v>0</v>
      </c>
      <c r="N124" s="65">
        <v>0</v>
      </c>
      <c r="O124" s="65">
        <v>0</v>
      </c>
      <c r="P124" s="65">
        <v>0</v>
      </c>
      <c r="Q124" s="66">
        <f t="shared" si="35"/>
        <v>0.5</v>
      </c>
      <c r="R124" s="65">
        <f t="shared" si="41"/>
        <v>0.5</v>
      </c>
      <c r="S124" s="57">
        <f t="shared" si="37"/>
        <v>1</v>
      </c>
      <c r="T124" s="57">
        <f t="shared" si="38"/>
        <v>0</v>
      </c>
      <c r="U124" s="57">
        <f t="shared" si="39"/>
        <v>0</v>
      </c>
      <c r="V124" s="57">
        <f t="shared" si="40"/>
        <v>0</v>
      </c>
    </row>
    <row r="125" spans="1:22" ht="17" x14ac:dyDescent="0.2">
      <c r="A125" s="64" t="s">
        <v>2</v>
      </c>
      <c r="B125" s="65">
        <v>0</v>
      </c>
      <c r="C125" s="65">
        <v>0.28000000000000003</v>
      </c>
      <c r="D125" s="65">
        <v>0.05</v>
      </c>
      <c r="E125" s="65">
        <v>0.2</v>
      </c>
      <c r="F125" s="65">
        <v>0</v>
      </c>
      <c r="G125" s="65">
        <v>0.15</v>
      </c>
      <c r="H125" s="65">
        <v>7.0000000000000007E-2</v>
      </c>
      <c r="I125" s="65">
        <v>0.05</v>
      </c>
      <c r="J125" s="65">
        <v>0.2</v>
      </c>
      <c r="K125" s="65">
        <v>0</v>
      </c>
      <c r="L125" s="65">
        <v>0</v>
      </c>
      <c r="M125" s="65">
        <v>0</v>
      </c>
      <c r="N125" s="65">
        <v>0</v>
      </c>
      <c r="O125" s="65">
        <v>0</v>
      </c>
      <c r="P125" s="65">
        <v>0</v>
      </c>
      <c r="Q125" s="66">
        <f t="shared" si="35"/>
        <v>0</v>
      </c>
      <c r="R125" s="65">
        <f t="shared" si="41"/>
        <v>1</v>
      </c>
      <c r="S125" s="57">
        <f t="shared" si="37"/>
        <v>1</v>
      </c>
      <c r="T125" s="57">
        <f t="shared" si="38"/>
        <v>0.65</v>
      </c>
      <c r="U125" s="57">
        <f t="shared" si="39"/>
        <v>0</v>
      </c>
      <c r="V125" s="57">
        <f t="shared" si="40"/>
        <v>0</v>
      </c>
    </row>
    <row r="126" spans="1:22" ht="17" x14ac:dyDescent="0.2">
      <c r="A126" s="64" t="s">
        <v>30</v>
      </c>
      <c r="B126" s="65">
        <v>0.05</v>
      </c>
      <c r="C126" s="65">
        <v>0</v>
      </c>
      <c r="D126" s="65">
        <v>0</v>
      </c>
      <c r="E126" s="65">
        <v>0.15</v>
      </c>
      <c r="F126" s="65">
        <v>0</v>
      </c>
      <c r="G126" s="65">
        <v>0</v>
      </c>
      <c r="H126" s="65">
        <v>0</v>
      </c>
      <c r="I126" s="65">
        <v>0</v>
      </c>
      <c r="J126" s="65">
        <v>0.4</v>
      </c>
      <c r="K126" s="65">
        <v>0</v>
      </c>
      <c r="L126" s="65">
        <v>0.05</v>
      </c>
      <c r="M126" s="65">
        <v>0</v>
      </c>
      <c r="N126" s="65">
        <v>0</v>
      </c>
      <c r="O126" s="65">
        <v>0</v>
      </c>
      <c r="P126" s="65">
        <v>0</v>
      </c>
      <c r="Q126" s="66">
        <f t="shared" si="35"/>
        <v>0.34999999999999987</v>
      </c>
      <c r="R126" s="65">
        <f t="shared" si="41"/>
        <v>0.60000000000000009</v>
      </c>
      <c r="S126" s="57">
        <f t="shared" si="37"/>
        <v>1</v>
      </c>
      <c r="T126" s="57">
        <f t="shared" si="38"/>
        <v>0.60000000000000009</v>
      </c>
      <c r="U126" s="57">
        <f t="shared" si="39"/>
        <v>0.05</v>
      </c>
      <c r="V126" s="57">
        <f t="shared" si="40"/>
        <v>0</v>
      </c>
    </row>
    <row r="127" spans="1:22" ht="17" x14ac:dyDescent="0.2">
      <c r="A127" s="64" t="s">
        <v>31</v>
      </c>
      <c r="B127" s="65">
        <v>0</v>
      </c>
      <c r="C127" s="65">
        <v>0.7</v>
      </c>
      <c r="D127" s="65">
        <v>0</v>
      </c>
      <c r="E127" s="65">
        <v>0</v>
      </c>
      <c r="F127" s="65">
        <v>0</v>
      </c>
      <c r="G127" s="65">
        <v>0</v>
      </c>
      <c r="H127" s="65">
        <v>0</v>
      </c>
      <c r="I127" s="65">
        <v>0</v>
      </c>
      <c r="J127" s="65">
        <v>0</v>
      </c>
      <c r="K127" s="65">
        <v>0.1</v>
      </c>
      <c r="L127" s="65">
        <v>0</v>
      </c>
      <c r="M127" s="65">
        <v>0</v>
      </c>
      <c r="N127" s="65">
        <v>0</v>
      </c>
      <c r="O127" s="65">
        <v>0</v>
      </c>
      <c r="P127" s="65">
        <v>0</v>
      </c>
      <c r="Q127" s="66">
        <f t="shared" si="35"/>
        <v>0.20000000000000007</v>
      </c>
      <c r="R127" s="65">
        <f t="shared" si="41"/>
        <v>0.7</v>
      </c>
      <c r="S127" s="57">
        <f t="shared" si="37"/>
        <v>1</v>
      </c>
      <c r="T127" s="57">
        <f t="shared" si="38"/>
        <v>0</v>
      </c>
      <c r="U127" s="57">
        <f t="shared" si="39"/>
        <v>0.1</v>
      </c>
      <c r="V127" s="57">
        <f t="shared" si="40"/>
        <v>0</v>
      </c>
    </row>
    <row r="128" spans="1:22" ht="17" x14ac:dyDescent="0.2">
      <c r="A128" s="64" t="s">
        <v>122</v>
      </c>
      <c r="B128" s="65">
        <v>0.1</v>
      </c>
      <c r="C128" s="65">
        <v>0</v>
      </c>
      <c r="D128" s="65">
        <v>0.2</v>
      </c>
      <c r="E128" s="65">
        <v>0.35</v>
      </c>
      <c r="F128" s="65">
        <v>0</v>
      </c>
      <c r="G128" s="65">
        <v>0.35</v>
      </c>
      <c r="H128" s="65">
        <v>0</v>
      </c>
      <c r="I128" s="65">
        <v>0</v>
      </c>
      <c r="J128" s="65">
        <v>0</v>
      </c>
      <c r="K128" s="65">
        <v>0</v>
      </c>
      <c r="L128" s="65">
        <v>0</v>
      </c>
      <c r="M128" s="65">
        <v>0</v>
      </c>
      <c r="N128" s="65">
        <v>0</v>
      </c>
      <c r="O128" s="65">
        <v>0</v>
      </c>
      <c r="P128" s="65">
        <v>0</v>
      </c>
      <c r="Q128" s="66">
        <f t="shared" si="35"/>
        <v>0</v>
      </c>
      <c r="R128" s="65">
        <f t="shared" si="41"/>
        <v>0.9</v>
      </c>
      <c r="S128" s="57">
        <f t="shared" si="37"/>
        <v>1</v>
      </c>
      <c r="T128" s="57">
        <f t="shared" si="38"/>
        <v>0.9</v>
      </c>
      <c r="U128" s="57">
        <f t="shared" si="39"/>
        <v>0.1</v>
      </c>
      <c r="V128" s="57">
        <f t="shared" si="40"/>
        <v>0</v>
      </c>
    </row>
    <row r="129" spans="1:22" ht="17" x14ac:dyDescent="0.2">
      <c r="A129" s="64" t="s">
        <v>32</v>
      </c>
      <c r="B129" s="65">
        <v>0</v>
      </c>
      <c r="C129" s="65">
        <v>0.35</v>
      </c>
      <c r="D129" s="65">
        <v>0</v>
      </c>
      <c r="E129" s="65">
        <v>0.1</v>
      </c>
      <c r="F129" s="65">
        <v>0</v>
      </c>
      <c r="G129" s="65">
        <v>0.15</v>
      </c>
      <c r="H129" s="65">
        <v>0</v>
      </c>
      <c r="I129" s="65">
        <v>0.1</v>
      </c>
      <c r="J129" s="65">
        <v>0.1</v>
      </c>
      <c r="K129" s="65">
        <v>0.1</v>
      </c>
      <c r="L129" s="65">
        <v>0</v>
      </c>
      <c r="M129" s="65">
        <v>0</v>
      </c>
      <c r="N129" s="65">
        <v>0</v>
      </c>
      <c r="O129" s="65">
        <v>0</v>
      </c>
      <c r="P129" s="65">
        <v>0</v>
      </c>
      <c r="Q129" s="66">
        <f t="shared" si="35"/>
        <v>0.10000000000000009</v>
      </c>
      <c r="R129" s="65">
        <f t="shared" si="41"/>
        <v>0.79999999999999993</v>
      </c>
      <c r="S129" s="57">
        <f t="shared" si="37"/>
        <v>1</v>
      </c>
      <c r="T129" s="57">
        <f t="shared" si="38"/>
        <v>0.44999999999999996</v>
      </c>
      <c r="U129" s="57">
        <f t="shared" si="39"/>
        <v>0.1</v>
      </c>
      <c r="V129" s="57">
        <f t="shared" si="40"/>
        <v>0</v>
      </c>
    </row>
    <row r="130" spans="1:22" ht="34" x14ac:dyDescent="0.2">
      <c r="A130" s="64" t="s">
        <v>105</v>
      </c>
      <c r="B130" s="65">
        <v>0</v>
      </c>
      <c r="C130" s="65">
        <v>0</v>
      </c>
      <c r="D130" s="65">
        <v>0</v>
      </c>
      <c r="E130" s="65">
        <v>0</v>
      </c>
      <c r="F130" s="65">
        <v>0</v>
      </c>
      <c r="G130" s="65">
        <v>0</v>
      </c>
      <c r="H130" s="65">
        <v>0</v>
      </c>
      <c r="I130" s="65">
        <v>0</v>
      </c>
      <c r="J130" s="65">
        <v>0</v>
      </c>
      <c r="K130" s="65">
        <v>0</v>
      </c>
      <c r="L130" s="166">
        <v>0</v>
      </c>
      <c r="M130" s="65">
        <v>0</v>
      </c>
      <c r="N130" s="65">
        <v>0</v>
      </c>
      <c r="O130" s="65">
        <v>0</v>
      </c>
      <c r="P130" s="65">
        <v>0.81</v>
      </c>
      <c r="Q130" s="66">
        <f t="shared" si="35"/>
        <v>0.18999999999999995</v>
      </c>
      <c r="R130" s="116">
        <f>SUM(C130:J130,L130:P130)</f>
        <v>0.81</v>
      </c>
      <c r="S130" s="57">
        <f t="shared" si="37"/>
        <v>1</v>
      </c>
      <c r="T130" s="57">
        <f t="shared" si="38"/>
        <v>0</v>
      </c>
      <c r="U130" s="57">
        <f t="shared" si="39"/>
        <v>0</v>
      </c>
      <c r="V130" s="57">
        <f t="shared" si="40"/>
        <v>0</v>
      </c>
    </row>
    <row r="131" spans="1:22" x14ac:dyDescent="0.2">
      <c r="A131" s="40" t="s">
        <v>576</v>
      </c>
      <c r="B131" s="65">
        <f t="shared" ref="B131:E131" si="43">B117</f>
        <v>0.1</v>
      </c>
      <c r="C131" s="65">
        <f t="shared" si="43"/>
        <v>0</v>
      </c>
      <c r="D131" s="65">
        <f t="shared" si="43"/>
        <v>0</v>
      </c>
      <c r="E131" s="65">
        <f t="shared" si="43"/>
        <v>0</v>
      </c>
      <c r="F131" s="65">
        <f>F117</f>
        <v>0</v>
      </c>
      <c r="G131" s="65">
        <f t="shared" ref="G131:P131" si="44">G117</f>
        <v>0</v>
      </c>
      <c r="H131" s="65">
        <f t="shared" si="44"/>
        <v>0</v>
      </c>
      <c r="I131" s="65">
        <f t="shared" si="44"/>
        <v>0</v>
      </c>
      <c r="J131" s="65">
        <f t="shared" si="44"/>
        <v>0</v>
      </c>
      <c r="K131" s="65">
        <f t="shared" si="44"/>
        <v>0.3</v>
      </c>
      <c r="L131" s="65">
        <f t="shared" si="44"/>
        <v>0</v>
      </c>
      <c r="M131" s="65">
        <f t="shared" si="44"/>
        <v>0</v>
      </c>
      <c r="N131" s="65">
        <f t="shared" si="44"/>
        <v>0</v>
      </c>
      <c r="O131" s="65">
        <f t="shared" si="44"/>
        <v>0</v>
      </c>
      <c r="P131" s="65">
        <f t="shared" si="44"/>
        <v>0</v>
      </c>
      <c r="Q131" s="66">
        <f t="shared" si="35"/>
        <v>0.6</v>
      </c>
      <c r="R131" s="117">
        <f t="shared" ref="R131:R132" si="45">SUM(C131:J131,L131:P131)</f>
        <v>0</v>
      </c>
      <c r="S131" s="57">
        <f t="shared" si="37"/>
        <v>1</v>
      </c>
      <c r="T131" s="57">
        <f t="shared" ref="T131:T132" si="46">SUM(D131:G131,I131:J131,L131:M131)</f>
        <v>0</v>
      </c>
      <c r="U131" s="57">
        <f t="shared" ref="U131:U132" si="47">B131+K131</f>
        <v>0.4</v>
      </c>
      <c r="V131" s="57">
        <f t="shared" ref="V131:V132" si="48">SUM(N131:O131)</f>
        <v>0</v>
      </c>
    </row>
    <row r="132" spans="1:22" x14ac:dyDescent="0.2">
      <c r="A132" s="40" t="s">
        <v>575</v>
      </c>
      <c r="B132" s="65">
        <f t="shared" ref="B132:E132" si="49">B117</f>
        <v>0.1</v>
      </c>
      <c r="C132" s="65">
        <f t="shared" si="49"/>
        <v>0</v>
      </c>
      <c r="D132" s="65">
        <f t="shared" si="49"/>
        <v>0</v>
      </c>
      <c r="E132" s="65">
        <f t="shared" si="49"/>
        <v>0</v>
      </c>
      <c r="F132" s="65">
        <f>F117</f>
        <v>0</v>
      </c>
      <c r="G132" s="65">
        <f t="shared" ref="G132:P132" si="50">G117</f>
        <v>0</v>
      </c>
      <c r="H132" s="65">
        <f t="shared" si="50"/>
        <v>0</v>
      </c>
      <c r="I132" s="65">
        <f t="shared" si="50"/>
        <v>0</v>
      </c>
      <c r="J132" s="65">
        <f t="shared" si="50"/>
        <v>0</v>
      </c>
      <c r="K132" s="65">
        <f t="shared" si="50"/>
        <v>0.3</v>
      </c>
      <c r="L132" s="65">
        <f t="shared" si="50"/>
        <v>0</v>
      </c>
      <c r="M132" s="65">
        <f t="shared" si="50"/>
        <v>0</v>
      </c>
      <c r="N132" s="65">
        <f t="shared" si="50"/>
        <v>0</v>
      </c>
      <c r="O132" s="65">
        <f t="shared" si="50"/>
        <v>0</v>
      </c>
      <c r="P132" s="65">
        <f t="shared" si="50"/>
        <v>0</v>
      </c>
      <c r="Q132" s="66">
        <f t="shared" si="35"/>
        <v>0.6</v>
      </c>
      <c r="R132" s="117">
        <f t="shared" si="45"/>
        <v>0</v>
      </c>
      <c r="S132" s="57">
        <f t="shared" si="37"/>
        <v>1</v>
      </c>
      <c r="T132" s="57">
        <f t="shared" si="46"/>
        <v>0</v>
      </c>
      <c r="U132" s="57">
        <f t="shared" si="47"/>
        <v>0.4</v>
      </c>
      <c r="V132" s="57">
        <f t="shared" si="48"/>
        <v>0</v>
      </c>
    </row>
    <row r="133" spans="1:22" x14ac:dyDescent="0.2">
      <c r="A133" t="s">
        <v>234</v>
      </c>
    </row>
    <row r="135" spans="1:22" x14ac:dyDescent="0.2">
      <c r="A135" s="68" t="s">
        <v>231</v>
      </c>
      <c r="T135" s="185" t="s">
        <v>363</v>
      </c>
      <c r="U135" s="185"/>
      <c r="V135" s="185"/>
    </row>
    <row r="136" spans="1:22" ht="68" x14ac:dyDescent="0.2">
      <c r="A136" s="62" t="s">
        <v>212</v>
      </c>
      <c r="B136" s="63" t="s">
        <v>213</v>
      </c>
      <c r="C136" s="63" t="s">
        <v>215</v>
      </c>
      <c r="D136" s="63" t="s">
        <v>216</v>
      </c>
      <c r="E136" s="63" t="s">
        <v>217</v>
      </c>
      <c r="F136" s="63" t="s">
        <v>218</v>
      </c>
      <c r="G136" s="63" t="s">
        <v>219</v>
      </c>
      <c r="H136" s="63" t="s">
        <v>302</v>
      </c>
      <c r="I136" s="63" t="s">
        <v>220</v>
      </c>
      <c r="J136" s="63" t="s">
        <v>221</v>
      </c>
      <c r="K136" s="63" t="s">
        <v>222</v>
      </c>
      <c r="L136" s="63" t="s">
        <v>223</v>
      </c>
      <c r="M136" s="63" t="s">
        <v>224</v>
      </c>
      <c r="N136" s="63" t="s">
        <v>225</v>
      </c>
      <c r="O136" s="63" t="s">
        <v>226</v>
      </c>
      <c r="P136" s="63" t="s">
        <v>279</v>
      </c>
      <c r="Q136" s="62" t="s">
        <v>210</v>
      </c>
      <c r="R136" s="63" t="s">
        <v>278</v>
      </c>
      <c r="S136" s="73" t="s">
        <v>110</v>
      </c>
      <c r="T136" s="89" t="s">
        <v>283</v>
      </c>
      <c r="U136" s="89" t="s">
        <v>293</v>
      </c>
      <c r="V136" s="89" t="s">
        <v>282</v>
      </c>
    </row>
    <row r="137" spans="1:22" ht="17" x14ac:dyDescent="0.2">
      <c r="A137" s="64" t="s">
        <v>82</v>
      </c>
      <c r="B137" s="65">
        <v>0</v>
      </c>
      <c r="C137" s="65">
        <v>0</v>
      </c>
      <c r="D137" s="65">
        <v>0</v>
      </c>
      <c r="E137" s="65">
        <v>0.5</v>
      </c>
      <c r="F137" s="65">
        <v>0.05</v>
      </c>
      <c r="G137" s="65">
        <v>0.17</v>
      </c>
      <c r="H137" s="65">
        <v>0</v>
      </c>
      <c r="I137" s="65">
        <v>0.05</v>
      </c>
      <c r="J137" s="65">
        <v>0</v>
      </c>
      <c r="K137" s="65">
        <v>0</v>
      </c>
      <c r="L137" s="65">
        <v>0.18</v>
      </c>
      <c r="M137" s="65">
        <v>0.05</v>
      </c>
      <c r="N137" s="65">
        <v>0</v>
      </c>
      <c r="O137" s="65">
        <v>0</v>
      </c>
      <c r="P137" s="65">
        <v>0</v>
      </c>
      <c r="Q137" s="66">
        <f t="shared" ref="Q137:Q151" si="51">1-SUM(B137:P137)</f>
        <v>0</v>
      </c>
      <c r="R137" s="65">
        <f>SUM(C137:J137,L137:O137)</f>
        <v>1.0000000000000002</v>
      </c>
      <c r="S137" s="57">
        <f>SUM(B137:Q137)</f>
        <v>1.0000000000000002</v>
      </c>
      <c r="T137" s="57">
        <f>SUM(D137:G137,I137:J137,L137:M137)</f>
        <v>1.0000000000000002</v>
      </c>
      <c r="U137" s="57">
        <f>B137+K137</f>
        <v>0</v>
      </c>
      <c r="V137" s="57">
        <f>SUM(N137:O137)</f>
        <v>0</v>
      </c>
    </row>
    <row r="138" spans="1:22" ht="17" x14ac:dyDescent="0.2">
      <c r="A138" s="64" t="s">
        <v>127</v>
      </c>
      <c r="B138" s="65">
        <v>0.1</v>
      </c>
      <c r="C138" s="65">
        <v>0</v>
      </c>
      <c r="D138" s="65">
        <v>0</v>
      </c>
      <c r="E138" s="65">
        <v>0</v>
      </c>
      <c r="F138" s="65">
        <v>0</v>
      </c>
      <c r="G138" s="65">
        <v>0</v>
      </c>
      <c r="H138" s="65">
        <v>0</v>
      </c>
      <c r="I138" s="65">
        <v>0</v>
      </c>
      <c r="J138" s="65">
        <v>0</v>
      </c>
      <c r="K138" s="65">
        <v>0.9</v>
      </c>
      <c r="L138" s="65">
        <v>0</v>
      </c>
      <c r="M138" s="65">
        <v>0</v>
      </c>
      <c r="N138" s="65">
        <v>0</v>
      </c>
      <c r="O138" s="65">
        <v>0</v>
      </c>
      <c r="P138" s="65">
        <v>0</v>
      </c>
      <c r="Q138" s="66">
        <f t="shared" si="51"/>
        <v>0</v>
      </c>
      <c r="R138" s="65">
        <f t="shared" ref="R138:R139" si="52">SUM(C138:J138,L138:O138)</f>
        <v>0</v>
      </c>
      <c r="S138" s="57">
        <f t="shared" ref="S138:S153" si="53">SUM(B138:Q138)</f>
        <v>1</v>
      </c>
      <c r="T138" s="57">
        <f t="shared" ref="T138:T151" si="54">SUM(D138:G138,I138:J138,L138:M138)</f>
        <v>0</v>
      </c>
      <c r="U138" s="57">
        <f t="shared" ref="U138:U151" si="55">B138+K138</f>
        <v>1</v>
      </c>
      <c r="V138" s="57">
        <f t="shared" ref="V138:V151" si="56">SUM(N138:O138)</f>
        <v>0</v>
      </c>
    </row>
    <row r="139" spans="1:22" ht="17" x14ac:dyDescent="0.2">
      <c r="A139" s="64" t="s">
        <v>8</v>
      </c>
      <c r="B139" s="65">
        <v>0.1</v>
      </c>
      <c r="C139" s="65">
        <f>C118+0.05</f>
        <v>0.25</v>
      </c>
      <c r="D139" s="65">
        <v>0</v>
      </c>
      <c r="E139" s="65">
        <v>0</v>
      </c>
      <c r="F139" s="65">
        <v>0</v>
      </c>
      <c r="G139" s="65">
        <v>0</v>
      </c>
      <c r="H139" s="65">
        <v>0</v>
      </c>
      <c r="I139" s="65">
        <v>0</v>
      </c>
      <c r="J139" s="65">
        <v>0</v>
      </c>
      <c r="K139" s="65">
        <v>0.65</v>
      </c>
      <c r="L139" s="65">
        <v>0</v>
      </c>
      <c r="M139" s="65">
        <v>0</v>
      </c>
      <c r="N139" s="65">
        <v>0</v>
      </c>
      <c r="O139" s="65">
        <v>0</v>
      </c>
      <c r="P139" s="65">
        <v>0</v>
      </c>
      <c r="Q139" s="66">
        <f t="shared" si="51"/>
        <v>0</v>
      </c>
      <c r="R139" s="65">
        <f t="shared" si="52"/>
        <v>0.25</v>
      </c>
      <c r="S139" s="57">
        <f t="shared" si="53"/>
        <v>1</v>
      </c>
      <c r="T139" s="57">
        <f t="shared" si="54"/>
        <v>0</v>
      </c>
      <c r="U139" s="57">
        <f t="shared" si="55"/>
        <v>0.75</v>
      </c>
      <c r="V139" s="57">
        <f t="shared" si="56"/>
        <v>0</v>
      </c>
    </row>
    <row r="140" spans="1:22" ht="17" x14ac:dyDescent="0.2">
      <c r="A140" s="64" t="s">
        <v>19</v>
      </c>
      <c r="B140" s="65">
        <v>0.1</v>
      </c>
      <c r="C140" s="65">
        <f>C119+0.05</f>
        <v>0.25</v>
      </c>
      <c r="D140" s="65">
        <v>0</v>
      </c>
      <c r="E140" s="65">
        <v>0</v>
      </c>
      <c r="F140" s="65">
        <v>0</v>
      </c>
      <c r="G140" s="65">
        <v>0</v>
      </c>
      <c r="H140" s="65">
        <v>0</v>
      </c>
      <c r="I140" s="65">
        <v>0</v>
      </c>
      <c r="J140" s="65">
        <v>0</v>
      </c>
      <c r="K140" s="65">
        <v>0.65</v>
      </c>
      <c r="L140" s="65">
        <v>0</v>
      </c>
      <c r="M140" s="65">
        <v>0</v>
      </c>
      <c r="N140" s="65">
        <v>0</v>
      </c>
      <c r="O140" s="65">
        <v>0</v>
      </c>
      <c r="P140" s="65">
        <v>0</v>
      </c>
      <c r="Q140" s="66">
        <f t="shared" si="51"/>
        <v>0</v>
      </c>
      <c r="R140" s="65">
        <f t="shared" ref="R140:R150" si="57">SUM(C140:J140,L140:O140)</f>
        <v>0.25</v>
      </c>
      <c r="S140" s="57">
        <f t="shared" si="53"/>
        <v>1</v>
      </c>
      <c r="T140" s="57">
        <f t="shared" si="54"/>
        <v>0</v>
      </c>
      <c r="U140" s="57">
        <f t="shared" si="55"/>
        <v>0.75</v>
      </c>
      <c r="V140" s="57">
        <f t="shared" si="56"/>
        <v>0</v>
      </c>
    </row>
    <row r="141" spans="1:22" ht="17" x14ac:dyDescent="0.2">
      <c r="A141" s="64" t="s">
        <v>1</v>
      </c>
      <c r="B141" s="65">
        <v>0</v>
      </c>
      <c r="C141" s="65">
        <v>0.9</v>
      </c>
      <c r="D141" s="65">
        <v>0</v>
      </c>
      <c r="E141" s="65">
        <v>0</v>
      </c>
      <c r="F141" s="65">
        <v>0</v>
      </c>
      <c r="G141" s="65">
        <v>0</v>
      </c>
      <c r="H141" s="65">
        <v>0</v>
      </c>
      <c r="I141" s="65">
        <v>0</v>
      </c>
      <c r="J141" s="65">
        <v>0</v>
      </c>
      <c r="K141" s="65">
        <v>0.1</v>
      </c>
      <c r="L141" s="65">
        <v>0</v>
      </c>
      <c r="M141" s="65">
        <v>0</v>
      </c>
      <c r="N141" s="65">
        <v>0</v>
      </c>
      <c r="O141" s="65">
        <v>0</v>
      </c>
      <c r="P141" s="65">
        <v>0</v>
      </c>
      <c r="Q141" s="66">
        <f t="shared" si="51"/>
        <v>0</v>
      </c>
      <c r="R141" s="65">
        <f t="shared" si="57"/>
        <v>0.9</v>
      </c>
      <c r="S141" s="57">
        <f t="shared" si="53"/>
        <v>1</v>
      </c>
      <c r="T141" s="57">
        <f t="shared" si="54"/>
        <v>0</v>
      </c>
      <c r="U141" s="57">
        <f t="shared" si="55"/>
        <v>0.1</v>
      </c>
      <c r="V141" s="57">
        <f t="shared" si="56"/>
        <v>0</v>
      </c>
    </row>
    <row r="142" spans="1:22" ht="17" x14ac:dyDescent="0.2">
      <c r="A142" s="64" t="s">
        <v>10</v>
      </c>
      <c r="B142" s="65">
        <v>0</v>
      </c>
      <c r="C142" s="65">
        <f>C121+0.05</f>
        <v>0.15000000000000002</v>
      </c>
      <c r="D142" s="65">
        <v>0</v>
      </c>
      <c r="E142" s="65">
        <v>0</v>
      </c>
      <c r="F142" s="65">
        <v>0</v>
      </c>
      <c r="G142" s="65">
        <v>0</v>
      </c>
      <c r="H142" s="65">
        <v>0</v>
      </c>
      <c r="I142" s="65">
        <v>0</v>
      </c>
      <c r="J142" s="65">
        <v>0</v>
      </c>
      <c r="K142" s="65">
        <v>0.35</v>
      </c>
      <c r="L142" s="65">
        <v>0</v>
      </c>
      <c r="M142" s="65">
        <v>0</v>
      </c>
      <c r="N142" s="65">
        <v>0.5</v>
      </c>
      <c r="O142" s="65">
        <v>0</v>
      </c>
      <c r="P142" s="65">
        <v>0</v>
      </c>
      <c r="Q142" s="66">
        <f t="shared" si="51"/>
        <v>0</v>
      </c>
      <c r="R142" s="65">
        <f t="shared" si="57"/>
        <v>0.65</v>
      </c>
      <c r="S142" s="57">
        <f t="shared" si="53"/>
        <v>1</v>
      </c>
      <c r="T142" s="57">
        <f t="shared" si="54"/>
        <v>0</v>
      </c>
      <c r="U142" s="57">
        <f t="shared" si="55"/>
        <v>0.35</v>
      </c>
      <c r="V142" s="57">
        <f t="shared" si="56"/>
        <v>0.5</v>
      </c>
    </row>
    <row r="143" spans="1:22" ht="17" x14ac:dyDescent="0.2">
      <c r="A143" s="64" t="s">
        <v>11</v>
      </c>
      <c r="B143" s="65">
        <v>0</v>
      </c>
      <c r="C143" s="65">
        <f>C122+0.05</f>
        <v>0.15000000000000002</v>
      </c>
      <c r="D143" s="65">
        <v>0</v>
      </c>
      <c r="E143" s="65">
        <v>0</v>
      </c>
      <c r="F143" s="65">
        <v>0</v>
      </c>
      <c r="G143" s="65">
        <v>0</v>
      </c>
      <c r="H143" s="65">
        <v>0</v>
      </c>
      <c r="I143" s="65">
        <v>0</v>
      </c>
      <c r="J143" s="65">
        <v>0</v>
      </c>
      <c r="K143" s="65">
        <v>0.35</v>
      </c>
      <c r="L143" s="65">
        <v>0</v>
      </c>
      <c r="M143" s="65">
        <v>0</v>
      </c>
      <c r="N143" s="65">
        <v>0</v>
      </c>
      <c r="O143" s="65">
        <v>0.5</v>
      </c>
      <c r="P143" s="65">
        <v>0</v>
      </c>
      <c r="Q143" s="66">
        <f t="shared" si="51"/>
        <v>0</v>
      </c>
      <c r="R143" s="65">
        <f t="shared" si="57"/>
        <v>0.65</v>
      </c>
      <c r="S143" s="57">
        <f t="shared" si="53"/>
        <v>1</v>
      </c>
      <c r="T143" s="57">
        <f t="shared" si="54"/>
        <v>0</v>
      </c>
      <c r="U143" s="57">
        <f t="shared" si="55"/>
        <v>0.35</v>
      </c>
      <c r="V143" s="57">
        <f t="shared" si="56"/>
        <v>0.5</v>
      </c>
    </row>
    <row r="144" spans="1:22" ht="17" x14ac:dyDescent="0.2">
      <c r="A144" s="64" t="s">
        <v>25</v>
      </c>
      <c r="B144" s="65">
        <f>B143</f>
        <v>0</v>
      </c>
      <c r="C144" s="65">
        <f t="shared" ref="C144" si="58">C143</f>
        <v>0.15000000000000002</v>
      </c>
      <c r="D144" s="65">
        <f t="shared" ref="D144" si="59">D143</f>
        <v>0</v>
      </c>
      <c r="E144" s="65">
        <f t="shared" ref="E144" si="60">E143</f>
        <v>0</v>
      </c>
      <c r="F144" s="65">
        <f t="shared" ref="F144" si="61">F143</f>
        <v>0</v>
      </c>
      <c r="G144" s="65">
        <f t="shared" ref="G144" si="62">G143</f>
        <v>0</v>
      </c>
      <c r="H144" s="65">
        <f t="shared" ref="H144" si="63">H143</f>
        <v>0</v>
      </c>
      <c r="I144" s="65">
        <f t="shared" ref="I144" si="64">I143</f>
        <v>0</v>
      </c>
      <c r="J144" s="65">
        <f t="shared" ref="J144" si="65">J143</f>
        <v>0</v>
      </c>
      <c r="K144" s="65">
        <f t="shared" ref="K144" si="66">K143</f>
        <v>0.35</v>
      </c>
      <c r="L144" s="65">
        <f t="shared" ref="L144" si="67">L143</f>
        <v>0</v>
      </c>
      <c r="M144" s="65">
        <f t="shared" ref="M144" si="68">M143</f>
        <v>0</v>
      </c>
      <c r="N144" s="65">
        <f t="shared" ref="N144" si="69">N143</f>
        <v>0</v>
      </c>
      <c r="O144" s="65">
        <f t="shared" ref="O144" si="70">O143</f>
        <v>0.5</v>
      </c>
      <c r="P144" s="65">
        <f t="shared" ref="P144" si="71">P143</f>
        <v>0</v>
      </c>
      <c r="Q144" s="66">
        <f t="shared" si="51"/>
        <v>0</v>
      </c>
      <c r="R144" s="65">
        <f t="shared" si="57"/>
        <v>0.65</v>
      </c>
      <c r="S144" s="57">
        <f t="shared" si="53"/>
        <v>1</v>
      </c>
      <c r="T144" s="57">
        <f t="shared" si="54"/>
        <v>0</v>
      </c>
      <c r="U144" s="57">
        <f t="shared" si="55"/>
        <v>0.35</v>
      </c>
      <c r="V144" s="57">
        <f t="shared" si="56"/>
        <v>0.5</v>
      </c>
    </row>
    <row r="145" spans="1:24" ht="17" x14ac:dyDescent="0.2">
      <c r="A145" s="64" t="s">
        <v>7</v>
      </c>
      <c r="B145" s="65">
        <v>0</v>
      </c>
      <c r="C145" s="65">
        <v>1</v>
      </c>
      <c r="D145" s="65">
        <v>0</v>
      </c>
      <c r="E145" s="65">
        <v>0</v>
      </c>
      <c r="F145" s="65">
        <v>0</v>
      </c>
      <c r="G145" s="65">
        <v>0</v>
      </c>
      <c r="H145" s="65">
        <v>0</v>
      </c>
      <c r="I145" s="65">
        <v>0</v>
      </c>
      <c r="J145" s="65">
        <v>0</v>
      </c>
      <c r="K145" s="65">
        <v>0</v>
      </c>
      <c r="L145" s="65">
        <v>0</v>
      </c>
      <c r="M145" s="65">
        <v>0</v>
      </c>
      <c r="N145" s="65">
        <v>0</v>
      </c>
      <c r="O145" s="65">
        <v>0</v>
      </c>
      <c r="P145" s="65">
        <v>0</v>
      </c>
      <c r="Q145" s="66">
        <f t="shared" si="51"/>
        <v>0</v>
      </c>
      <c r="R145" s="65">
        <f t="shared" si="57"/>
        <v>1</v>
      </c>
      <c r="S145" s="57">
        <f t="shared" si="53"/>
        <v>1</v>
      </c>
      <c r="T145" s="57">
        <f t="shared" si="54"/>
        <v>0</v>
      </c>
      <c r="U145" s="57">
        <f t="shared" si="55"/>
        <v>0</v>
      </c>
      <c r="V145" s="57">
        <f t="shared" si="56"/>
        <v>0</v>
      </c>
    </row>
    <row r="146" spans="1:24" ht="17" x14ac:dyDescent="0.2">
      <c r="A146" s="64" t="s">
        <v>2</v>
      </c>
      <c r="B146" s="65">
        <v>0</v>
      </c>
      <c r="C146" s="65">
        <v>0.25</v>
      </c>
      <c r="D146" s="65">
        <v>7.0000000000000007E-2</v>
      </c>
      <c r="E146" s="65">
        <v>0.16</v>
      </c>
      <c r="F146" s="65">
        <v>7.0000000000000007E-2</v>
      </c>
      <c r="G146" s="65">
        <v>0.12</v>
      </c>
      <c r="H146" s="65">
        <v>0.1</v>
      </c>
      <c r="I146" s="65">
        <v>7.0000000000000007E-2</v>
      </c>
      <c r="J146" s="65">
        <v>0.16</v>
      </c>
      <c r="K146" s="65">
        <v>0</v>
      </c>
      <c r="L146" s="65">
        <v>0</v>
      </c>
      <c r="M146" s="65">
        <v>0</v>
      </c>
      <c r="N146" s="65">
        <v>0</v>
      </c>
      <c r="O146" s="65">
        <v>0</v>
      </c>
      <c r="P146" s="65">
        <v>0</v>
      </c>
      <c r="Q146" s="66">
        <f t="shared" si="51"/>
        <v>0</v>
      </c>
      <c r="R146" s="65">
        <f t="shared" si="57"/>
        <v>1</v>
      </c>
      <c r="S146" s="57">
        <f t="shared" si="53"/>
        <v>1</v>
      </c>
      <c r="T146" s="57">
        <f t="shared" si="54"/>
        <v>0.65</v>
      </c>
      <c r="U146" s="57">
        <f t="shared" si="55"/>
        <v>0</v>
      </c>
      <c r="V146" s="57">
        <f t="shared" si="56"/>
        <v>0</v>
      </c>
    </row>
    <row r="147" spans="1:24" ht="17" x14ac:dyDescent="0.2">
      <c r="A147" s="64" t="s">
        <v>30</v>
      </c>
      <c r="B147" s="65">
        <v>0</v>
      </c>
      <c r="C147" s="65">
        <v>0</v>
      </c>
      <c r="D147" s="65">
        <v>0</v>
      </c>
      <c r="E147" s="65">
        <v>0.3</v>
      </c>
      <c r="F147" s="65">
        <v>0</v>
      </c>
      <c r="G147" s="65">
        <v>0</v>
      </c>
      <c r="H147" s="65">
        <v>0</v>
      </c>
      <c r="I147" s="65">
        <v>0</v>
      </c>
      <c r="J147" s="65">
        <v>0.6</v>
      </c>
      <c r="K147" s="65">
        <v>0</v>
      </c>
      <c r="L147" s="65">
        <v>0.1</v>
      </c>
      <c r="M147" s="65">
        <v>0</v>
      </c>
      <c r="N147" s="65">
        <v>0</v>
      </c>
      <c r="O147" s="65">
        <v>0</v>
      </c>
      <c r="P147" s="65">
        <v>0</v>
      </c>
      <c r="Q147" s="66">
        <f t="shared" si="51"/>
        <v>0</v>
      </c>
      <c r="R147" s="65">
        <f t="shared" si="57"/>
        <v>0.99999999999999989</v>
      </c>
      <c r="S147" s="57">
        <f t="shared" si="53"/>
        <v>0.99999999999999989</v>
      </c>
      <c r="T147" s="57">
        <f t="shared" si="54"/>
        <v>0.99999999999999989</v>
      </c>
      <c r="U147" s="57">
        <f t="shared" si="55"/>
        <v>0</v>
      </c>
      <c r="V147" s="57">
        <f t="shared" si="56"/>
        <v>0</v>
      </c>
    </row>
    <row r="148" spans="1:24" ht="17" x14ac:dyDescent="0.2">
      <c r="A148" s="64" t="s">
        <v>31</v>
      </c>
      <c r="B148" s="65">
        <v>0</v>
      </c>
      <c r="C148" s="65">
        <v>1</v>
      </c>
      <c r="D148" s="65">
        <v>0</v>
      </c>
      <c r="E148" s="65">
        <v>0</v>
      </c>
      <c r="F148" s="65">
        <v>0</v>
      </c>
      <c r="G148" s="65">
        <v>0</v>
      </c>
      <c r="H148" s="65">
        <v>0</v>
      </c>
      <c r="I148" s="65">
        <v>0</v>
      </c>
      <c r="J148" s="65">
        <v>0</v>
      </c>
      <c r="K148" s="65">
        <v>0</v>
      </c>
      <c r="L148" s="65">
        <v>0</v>
      </c>
      <c r="M148" s="65">
        <v>0</v>
      </c>
      <c r="N148" s="65">
        <v>0</v>
      </c>
      <c r="O148" s="65">
        <v>0</v>
      </c>
      <c r="P148" s="65">
        <v>0</v>
      </c>
      <c r="Q148" s="66">
        <f t="shared" si="51"/>
        <v>0</v>
      </c>
      <c r="R148" s="65">
        <f t="shared" si="57"/>
        <v>1</v>
      </c>
      <c r="S148" s="57">
        <f t="shared" si="53"/>
        <v>1</v>
      </c>
      <c r="T148" s="57">
        <f t="shared" si="54"/>
        <v>0</v>
      </c>
      <c r="U148" s="57">
        <f t="shared" si="55"/>
        <v>0</v>
      </c>
      <c r="V148" s="57">
        <f t="shared" si="56"/>
        <v>0</v>
      </c>
    </row>
    <row r="149" spans="1:24" ht="17" x14ac:dyDescent="0.2">
      <c r="A149" s="64" t="s">
        <v>122</v>
      </c>
      <c r="B149" s="65">
        <v>0.1</v>
      </c>
      <c r="C149" s="65">
        <v>0</v>
      </c>
      <c r="D149" s="65">
        <v>0.2</v>
      </c>
      <c r="E149" s="65">
        <v>0.35</v>
      </c>
      <c r="F149" s="65">
        <v>0</v>
      </c>
      <c r="G149" s="65">
        <v>0.35</v>
      </c>
      <c r="H149" s="65">
        <v>0</v>
      </c>
      <c r="I149" s="65">
        <v>0</v>
      </c>
      <c r="J149" s="65">
        <v>0</v>
      </c>
      <c r="K149" s="65">
        <v>0</v>
      </c>
      <c r="L149" s="65">
        <v>0</v>
      </c>
      <c r="M149" s="65">
        <v>0</v>
      </c>
      <c r="N149" s="65">
        <v>0</v>
      </c>
      <c r="O149" s="65">
        <v>0</v>
      </c>
      <c r="P149" s="65">
        <v>0</v>
      </c>
      <c r="Q149" s="66">
        <f t="shared" si="51"/>
        <v>0</v>
      </c>
      <c r="R149" s="65">
        <f t="shared" si="57"/>
        <v>0.9</v>
      </c>
      <c r="S149" s="57">
        <f t="shared" si="53"/>
        <v>1</v>
      </c>
      <c r="T149" s="57">
        <f t="shared" si="54"/>
        <v>0.9</v>
      </c>
      <c r="U149" s="57">
        <f t="shared" si="55"/>
        <v>0.1</v>
      </c>
      <c r="V149" s="57">
        <f t="shared" si="56"/>
        <v>0</v>
      </c>
    </row>
    <row r="150" spans="1:24" ht="17" x14ac:dyDescent="0.2">
      <c r="A150" s="64" t="s">
        <v>32</v>
      </c>
      <c r="B150" s="65">
        <v>0</v>
      </c>
      <c r="C150" s="65">
        <v>0.4</v>
      </c>
      <c r="D150" s="65">
        <v>0</v>
      </c>
      <c r="E150" s="65">
        <v>0.14000000000000001</v>
      </c>
      <c r="F150" s="65">
        <v>0</v>
      </c>
      <c r="G150" s="65">
        <v>0.2</v>
      </c>
      <c r="H150" s="65">
        <v>0</v>
      </c>
      <c r="I150" s="65">
        <v>0.13</v>
      </c>
      <c r="J150" s="65">
        <v>0.13</v>
      </c>
      <c r="K150" s="65">
        <v>0</v>
      </c>
      <c r="L150" s="65">
        <v>0</v>
      </c>
      <c r="M150" s="65">
        <v>0</v>
      </c>
      <c r="N150" s="65">
        <v>0</v>
      </c>
      <c r="O150" s="65">
        <v>0</v>
      </c>
      <c r="P150" s="65">
        <v>0</v>
      </c>
      <c r="Q150" s="66">
        <f t="shared" si="51"/>
        <v>0</v>
      </c>
      <c r="R150" s="65">
        <f t="shared" si="57"/>
        <v>1</v>
      </c>
      <c r="S150" s="57">
        <f t="shared" si="53"/>
        <v>1</v>
      </c>
      <c r="T150" s="57">
        <f t="shared" si="54"/>
        <v>0.60000000000000009</v>
      </c>
      <c r="U150" s="57">
        <f t="shared" si="55"/>
        <v>0</v>
      </c>
      <c r="V150" s="57">
        <f t="shared" si="56"/>
        <v>0</v>
      </c>
    </row>
    <row r="151" spans="1:24" ht="34" x14ac:dyDescent="0.2">
      <c r="A151" s="64" t="s">
        <v>105</v>
      </c>
      <c r="B151" s="114">
        <v>0</v>
      </c>
      <c r="C151" s="114">
        <v>0</v>
      </c>
      <c r="D151" s="114">
        <v>0</v>
      </c>
      <c r="E151" s="114">
        <v>0</v>
      </c>
      <c r="F151" s="114">
        <v>0</v>
      </c>
      <c r="G151" s="114">
        <v>0</v>
      </c>
      <c r="H151" s="114">
        <v>0</v>
      </c>
      <c r="I151" s="114">
        <v>0</v>
      </c>
      <c r="J151" s="114">
        <v>0</v>
      </c>
      <c r="K151" s="114">
        <v>0.19</v>
      </c>
      <c r="L151" s="114">
        <v>0</v>
      </c>
      <c r="M151" s="114">
        <v>0</v>
      </c>
      <c r="N151" s="114">
        <v>0</v>
      </c>
      <c r="O151" s="114">
        <v>0</v>
      </c>
      <c r="P151" s="114">
        <v>0.81</v>
      </c>
      <c r="Q151" s="66">
        <f t="shared" si="51"/>
        <v>0</v>
      </c>
      <c r="R151" s="72">
        <f>SUM(C151:J151,L151:P151)</f>
        <v>0.81</v>
      </c>
      <c r="S151" s="57">
        <f t="shared" si="53"/>
        <v>1</v>
      </c>
      <c r="T151" s="57">
        <f t="shared" si="54"/>
        <v>0</v>
      </c>
      <c r="U151" s="57">
        <f t="shared" si="55"/>
        <v>0.19</v>
      </c>
      <c r="V151" s="57">
        <f t="shared" si="56"/>
        <v>0</v>
      </c>
    </row>
    <row r="152" spans="1:24" x14ac:dyDescent="0.2">
      <c r="A152" s="40" t="s">
        <v>576</v>
      </c>
      <c r="B152" s="117">
        <f>B138</f>
        <v>0.1</v>
      </c>
      <c r="C152" s="117">
        <f t="shared" ref="C152:P152" si="72">C138</f>
        <v>0</v>
      </c>
      <c r="D152" s="117">
        <f t="shared" si="72"/>
        <v>0</v>
      </c>
      <c r="E152" s="117">
        <f t="shared" si="72"/>
        <v>0</v>
      </c>
      <c r="F152" s="117">
        <f t="shared" si="72"/>
        <v>0</v>
      </c>
      <c r="G152" s="117">
        <f t="shared" si="72"/>
        <v>0</v>
      </c>
      <c r="H152" s="117">
        <f t="shared" si="72"/>
        <v>0</v>
      </c>
      <c r="I152" s="117">
        <f t="shared" si="72"/>
        <v>0</v>
      </c>
      <c r="J152" s="117">
        <f t="shared" si="72"/>
        <v>0</v>
      </c>
      <c r="K152" s="117">
        <f t="shared" si="72"/>
        <v>0.9</v>
      </c>
      <c r="L152" s="117">
        <f t="shared" si="72"/>
        <v>0</v>
      </c>
      <c r="M152" s="117">
        <f t="shared" si="72"/>
        <v>0</v>
      </c>
      <c r="N152" s="117">
        <f t="shared" si="72"/>
        <v>0</v>
      </c>
      <c r="O152" s="117">
        <f t="shared" si="72"/>
        <v>0</v>
      </c>
      <c r="P152" s="117">
        <f t="shared" si="72"/>
        <v>0</v>
      </c>
      <c r="Q152" s="119">
        <f t="shared" ref="Q152:Q153" si="73">1-SUM(B152:P152)</f>
        <v>0</v>
      </c>
      <c r="R152" s="72">
        <f t="shared" ref="R152:R153" si="74">SUM(C152:J152,L152:P152)</f>
        <v>0</v>
      </c>
      <c r="S152" s="57">
        <f t="shared" si="53"/>
        <v>1</v>
      </c>
      <c r="T152" s="57">
        <f t="shared" ref="T152:T153" si="75">SUM(D152:G152,I152:J152,L152:M152)</f>
        <v>0</v>
      </c>
      <c r="U152" s="57">
        <f t="shared" ref="U152:U153" si="76">B152+K152</f>
        <v>1</v>
      </c>
      <c r="V152" s="57">
        <f t="shared" ref="V152:V153" si="77">SUM(N152:O152)</f>
        <v>0</v>
      </c>
    </row>
    <row r="153" spans="1:24" x14ac:dyDescent="0.2">
      <c r="A153" s="40" t="s">
        <v>575</v>
      </c>
      <c r="B153" s="117">
        <f>B138</f>
        <v>0.1</v>
      </c>
      <c r="C153" s="117">
        <f t="shared" ref="C153:P153" si="78">C138</f>
        <v>0</v>
      </c>
      <c r="D153" s="117">
        <f t="shared" si="78"/>
        <v>0</v>
      </c>
      <c r="E153" s="117">
        <f t="shared" si="78"/>
        <v>0</v>
      </c>
      <c r="F153" s="117">
        <f t="shared" si="78"/>
        <v>0</v>
      </c>
      <c r="G153" s="117">
        <f t="shared" si="78"/>
        <v>0</v>
      </c>
      <c r="H153" s="117">
        <f t="shared" si="78"/>
        <v>0</v>
      </c>
      <c r="I153" s="117">
        <f t="shared" si="78"/>
        <v>0</v>
      </c>
      <c r="J153" s="117">
        <f t="shared" si="78"/>
        <v>0</v>
      </c>
      <c r="K153" s="117">
        <f t="shared" si="78"/>
        <v>0.9</v>
      </c>
      <c r="L153" s="117">
        <f t="shared" si="78"/>
        <v>0</v>
      </c>
      <c r="M153" s="117">
        <f t="shared" si="78"/>
        <v>0</v>
      </c>
      <c r="N153" s="117">
        <f t="shared" si="78"/>
        <v>0</v>
      </c>
      <c r="O153" s="117">
        <f t="shared" si="78"/>
        <v>0</v>
      </c>
      <c r="P153" s="117">
        <f t="shared" si="78"/>
        <v>0</v>
      </c>
      <c r="Q153" s="119">
        <f t="shared" si="73"/>
        <v>0</v>
      </c>
      <c r="R153" s="72">
        <f t="shared" si="74"/>
        <v>0</v>
      </c>
      <c r="S153" s="57">
        <f t="shared" si="53"/>
        <v>1</v>
      </c>
      <c r="T153" s="57">
        <f t="shared" si="75"/>
        <v>0</v>
      </c>
      <c r="U153" s="57">
        <f t="shared" si="76"/>
        <v>1</v>
      </c>
      <c r="V153" s="57">
        <f t="shared" si="77"/>
        <v>0</v>
      </c>
    </row>
    <row r="154" spans="1:24" x14ac:dyDescent="0.2">
      <c r="B154" s="69"/>
      <c r="C154" s="69"/>
      <c r="D154" s="69"/>
      <c r="E154" s="69"/>
      <c r="F154" s="69"/>
      <c r="G154" s="69"/>
      <c r="H154" s="69"/>
      <c r="I154" s="69"/>
      <c r="J154" s="69"/>
      <c r="K154" s="69"/>
      <c r="L154" s="69"/>
      <c r="M154" s="69"/>
      <c r="N154" s="69"/>
      <c r="O154" s="69"/>
      <c r="P154" s="69"/>
    </row>
    <row r="155" spans="1:24" ht="19" x14ac:dyDescent="0.25">
      <c r="A155" s="12" t="s">
        <v>336</v>
      </c>
    </row>
    <row r="156" spans="1:24" x14ac:dyDescent="0.2">
      <c r="A156" s="2"/>
    </row>
    <row r="157" spans="1:24" x14ac:dyDescent="0.2">
      <c r="A157" s="68" t="s">
        <v>240</v>
      </c>
      <c r="T157" s="193" t="s">
        <v>363</v>
      </c>
      <c r="U157" s="194"/>
      <c r="V157" s="195"/>
    </row>
    <row r="158" spans="1:24" ht="68" x14ac:dyDescent="0.2">
      <c r="A158" s="62" t="s">
        <v>212</v>
      </c>
      <c r="B158" s="63" t="s">
        <v>213</v>
      </c>
      <c r="C158" s="63" t="s">
        <v>215</v>
      </c>
      <c r="D158" s="63" t="s">
        <v>216</v>
      </c>
      <c r="E158" s="63" t="s">
        <v>217</v>
      </c>
      <c r="F158" s="63" t="s">
        <v>218</v>
      </c>
      <c r="G158" s="63" t="s">
        <v>219</v>
      </c>
      <c r="H158" s="63" t="s">
        <v>302</v>
      </c>
      <c r="I158" s="63" t="s">
        <v>220</v>
      </c>
      <c r="J158" s="63" t="s">
        <v>221</v>
      </c>
      <c r="K158" s="63" t="s">
        <v>222</v>
      </c>
      <c r="L158" s="63" t="s">
        <v>223</v>
      </c>
      <c r="M158" s="63" t="s">
        <v>224</v>
      </c>
      <c r="N158" s="63" t="s">
        <v>225</v>
      </c>
      <c r="O158" s="63" t="s">
        <v>226</v>
      </c>
      <c r="P158" s="63" t="s">
        <v>279</v>
      </c>
      <c r="Q158" s="62" t="s">
        <v>210</v>
      </c>
      <c r="R158" s="63" t="s">
        <v>278</v>
      </c>
      <c r="S158" s="73" t="s">
        <v>110</v>
      </c>
      <c r="T158" s="89" t="s">
        <v>283</v>
      </c>
      <c r="U158" s="89" t="s">
        <v>293</v>
      </c>
      <c r="V158" s="89" t="s">
        <v>282</v>
      </c>
    </row>
    <row r="159" spans="1:24" ht="17" x14ac:dyDescent="0.2">
      <c r="A159" s="64" t="s">
        <v>82</v>
      </c>
      <c r="B159" s="65">
        <v>0</v>
      </c>
      <c r="C159" s="65">
        <v>0</v>
      </c>
      <c r="D159" s="65">
        <v>0</v>
      </c>
      <c r="E159" s="65">
        <v>0.7</v>
      </c>
      <c r="F159" s="65">
        <v>0</v>
      </c>
      <c r="G159" s="65">
        <v>0</v>
      </c>
      <c r="H159" s="65">
        <v>0</v>
      </c>
      <c r="I159" s="65">
        <v>0</v>
      </c>
      <c r="J159" s="65">
        <v>0</v>
      </c>
      <c r="K159" s="65">
        <v>0</v>
      </c>
      <c r="L159" s="65">
        <v>0.3</v>
      </c>
      <c r="M159" s="65">
        <v>0</v>
      </c>
      <c r="N159" s="65">
        <v>0</v>
      </c>
      <c r="O159" s="65">
        <v>0</v>
      </c>
      <c r="P159" s="65">
        <v>0</v>
      </c>
      <c r="Q159" s="66">
        <f t="shared" ref="Q159:Q173" si="79">1-SUM(B159:P159)</f>
        <v>0</v>
      </c>
      <c r="R159" s="65">
        <f>SUM(C159:J159,L159:O159)</f>
        <v>1</v>
      </c>
      <c r="S159" s="57">
        <f>SUM(B159:Q159)</f>
        <v>1</v>
      </c>
      <c r="T159" s="57">
        <f>SUM(D159:G159,I159:J159,L159:M159)</f>
        <v>1</v>
      </c>
      <c r="U159" s="57">
        <f>B159+K159</f>
        <v>0</v>
      </c>
      <c r="V159" s="57">
        <f>SUM(N159:O159)</f>
        <v>0</v>
      </c>
      <c r="X159" s="156"/>
    </row>
    <row r="160" spans="1:24" ht="17" x14ac:dyDescent="0.2">
      <c r="A160" s="64" t="s">
        <v>127</v>
      </c>
      <c r="B160" s="65">
        <v>0.1</v>
      </c>
      <c r="C160" s="65">
        <v>0.45</v>
      </c>
      <c r="D160" s="65">
        <v>0</v>
      </c>
      <c r="E160" s="65">
        <v>0</v>
      </c>
      <c r="F160" s="65">
        <v>0</v>
      </c>
      <c r="G160" s="65">
        <v>0</v>
      </c>
      <c r="H160" s="65">
        <v>0</v>
      </c>
      <c r="I160" s="65">
        <v>0</v>
      </c>
      <c r="J160" s="65">
        <v>0</v>
      </c>
      <c r="K160" s="65">
        <v>0.15</v>
      </c>
      <c r="L160" s="65">
        <v>0</v>
      </c>
      <c r="M160" s="65">
        <v>0</v>
      </c>
      <c r="N160" s="65">
        <v>0</v>
      </c>
      <c r="O160" s="65">
        <v>0</v>
      </c>
      <c r="P160" s="65">
        <v>0</v>
      </c>
      <c r="Q160" s="66">
        <f t="shared" si="79"/>
        <v>0.29999999999999993</v>
      </c>
      <c r="R160" s="65">
        <f>SUM(C160:O160)</f>
        <v>0.6</v>
      </c>
      <c r="S160" s="57">
        <f t="shared" ref="S160:S175" si="80">SUM(B160:Q160)</f>
        <v>1</v>
      </c>
      <c r="T160" s="57">
        <f t="shared" ref="T160:T173" si="81">SUM(D160:G160,I160:J160,L160:M160)</f>
        <v>0</v>
      </c>
      <c r="U160" s="57">
        <f t="shared" ref="U160:U173" si="82">B160+K160</f>
        <v>0.25</v>
      </c>
      <c r="V160" s="57">
        <f t="shared" ref="V160:V173" si="83">SUM(N160:O160)</f>
        <v>0</v>
      </c>
      <c r="X160" s="156"/>
    </row>
    <row r="161" spans="1:24" ht="17" x14ac:dyDescent="0.2">
      <c r="A161" s="64" t="s">
        <v>8</v>
      </c>
      <c r="B161" s="65">
        <v>0.1</v>
      </c>
      <c r="C161" s="65">
        <v>0.4</v>
      </c>
      <c r="D161" s="65">
        <v>0</v>
      </c>
      <c r="E161" s="65">
        <v>0</v>
      </c>
      <c r="F161" s="65">
        <v>0</v>
      </c>
      <c r="G161" s="65">
        <v>0</v>
      </c>
      <c r="H161" s="65">
        <v>0</v>
      </c>
      <c r="I161" s="65">
        <v>0</v>
      </c>
      <c r="J161" s="67">
        <v>0</v>
      </c>
      <c r="K161" s="65">
        <v>0.15</v>
      </c>
      <c r="L161" s="65">
        <v>0</v>
      </c>
      <c r="M161" s="65">
        <v>0</v>
      </c>
      <c r="N161" s="65">
        <v>0</v>
      </c>
      <c r="O161" s="65">
        <v>0</v>
      </c>
      <c r="P161" s="65">
        <v>0</v>
      </c>
      <c r="Q161" s="66">
        <f t="shared" si="79"/>
        <v>0.35</v>
      </c>
      <c r="R161" s="65">
        <f>SUM(C161:O161)</f>
        <v>0.55000000000000004</v>
      </c>
      <c r="S161" s="57">
        <f t="shared" si="80"/>
        <v>1</v>
      </c>
      <c r="T161" s="57">
        <f t="shared" si="81"/>
        <v>0</v>
      </c>
      <c r="U161" s="57">
        <f t="shared" si="82"/>
        <v>0.25</v>
      </c>
      <c r="V161" s="57">
        <f t="shared" si="83"/>
        <v>0</v>
      </c>
      <c r="X161" s="156"/>
    </row>
    <row r="162" spans="1:24" ht="17" x14ac:dyDescent="0.2">
      <c r="A162" s="64" t="s">
        <v>19</v>
      </c>
      <c r="B162" s="65">
        <v>0.1</v>
      </c>
      <c r="C162" s="65">
        <v>0.4</v>
      </c>
      <c r="D162" s="65">
        <v>0</v>
      </c>
      <c r="E162" s="65">
        <v>0</v>
      </c>
      <c r="F162" s="65">
        <v>0</v>
      </c>
      <c r="G162" s="65">
        <v>0</v>
      </c>
      <c r="H162" s="65">
        <v>0</v>
      </c>
      <c r="I162" s="65">
        <v>0</v>
      </c>
      <c r="J162" s="65">
        <v>0</v>
      </c>
      <c r="K162" s="65">
        <v>0.15</v>
      </c>
      <c r="L162" s="65">
        <v>0</v>
      </c>
      <c r="M162" s="65">
        <v>0</v>
      </c>
      <c r="N162" s="65">
        <v>0</v>
      </c>
      <c r="O162" s="65">
        <v>0</v>
      </c>
      <c r="P162" s="65">
        <v>0</v>
      </c>
      <c r="Q162" s="66">
        <f t="shared" si="79"/>
        <v>0.35</v>
      </c>
      <c r="R162" s="65">
        <f t="shared" ref="R162:R172" si="84">SUM(C162:J162,L162:O162)</f>
        <v>0.4</v>
      </c>
      <c r="S162" s="57">
        <f t="shared" si="80"/>
        <v>1</v>
      </c>
      <c r="T162" s="57">
        <f t="shared" si="81"/>
        <v>0</v>
      </c>
      <c r="U162" s="57">
        <f t="shared" si="82"/>
        <v>0.25</v>
      </c>
      <c r="V162" s="57">
        <f t="shared" si="83"/>
        <v>0</v>
      </c>
      <c r="X162" s="156"/>
    </row>
    <row r="163" spans="1:24" ht="17" x14ac:dyDescent="0.2">
      <c r="A163" s="64" t="s">
        <v>1</v>
      </c>
      <c r="B163" s="65">
        <v>0</v>
      </c>
      <c r="C163" s="65">
        <v>0.9</v>
      </c>
      <c r="D163" s="65">
        <v>0</v>
      </c>
      <c r="E163" s="65">
        <v>0</v>
      </c>
      <c r="F163" s="65">
        <v>0</v>
      </c>
      <c r="G163" s="65">
        <v>0</v>
      </c>
      <c r="H163" s="65">
        <v>0</v>
      </c>
      <c r="I163" s="65">
        <v>0</v>
      </c>
      <c r="J163" s="65">
        <v>0</v>
      </c>
      <c r="K163" s="65">
        <v>0.1</v>
      </c>
      <c r="L163" s="65">
        <v>0</v>
      </c>
      <c r="M163" s="65">
        <v>0</v>
      </c>
      <c r="N163" s="65">
        <v>0</v>
      </c>
      <c r="O163" s="65">
        <v>0</v>
      </c>
      <c r="P163" s="65">
        <v>0</v>
      </c>
      <c r="Q163" s="66">
        <f t="shared" si="79"/>
        <v>0</v>
      </c>
      <c r="R163" s="65">
        <f t="shared" si="84"/>
        <v>0.9</v>
      </c>
      <c r="S163" s="57">
        <f t="shared" si="80"/>
        <v>1</v>
      </c>
      <c r="T163" s="57">
        <f t="shared" si="81"/>
        <v>0</v>
      </c>
      <c r="U163" s="57">
        <f t="shared" si="82"/>
        <v>0.1</v>
      </c>
      <c r="V163" s="57">
        <f t="shared" si="83"/>
        <v>0</v>
      </c>
      <c r="X163" s="156"/>
    </row>
    <row r="164" spans="1:24" ht="17" x14ac:dyDescent="0.2">
      <c r="A164" s="64" t="s">
        <v>10</v>
      </c>
      <c r="B164" s="65">
        <v>0.1</v>
      </c>
      <c r="C164" s="65">
        <f>C99*2</f>
        <v>0.1</v>
      </c>
      <c r="D164" s="65">
        <v>0</v>
      </c>
      <c r="E164" s="65">
        <v>0</v>
      </c>
      <c r="F164" s="65">
        <v>0</v>
      </c>
      <c r="G164" s="65">
        <v>0</v>
      </c>
      <c r="H164" s="65">
        <v>0</v>
      </c>
      <c r="I164" s="65">
        <v>0</v>
      </c>
      <c r="J164" s="65">
        <v>0</v>
      </c>
      <c r="K164" s="65">
        <v>0.15</v>
      </c>
      <c r="L164" s="65">
        <v>0</v>
      </c>
      <c r="M164" s="65">
        <v>0</v>
      </c>
      <c r="N164" s="65">
        <v>0.5</v>
      </c>
      <c r="O164" s="65">
        <v>0</v>
      </c>
      <c r="P164" s="65">
        <v>0</v>
      </c>
      <c r="Q164" s="66">
        <f t="shared" si="79"/>
        <v>0.15000000000000002</v>
      </c>
      <c r="R164" s="65">
        <f t="shared" si="84"/>
        <v>0.6</v>
      </c>
      <c r="S164" s="57">
        <f t="shared" si="80"/>
        <v>1</v>
      </c>
      <c r="T164" s="57">
        <f t="shared" si="81"/>
        <v>0</v>
      </c>
      <c r="U164" s="57">
        <f t="shared" si="82"/>
        <v>0.25</v>
      </c>
      <c r="V164" s="57">
        <f t="shared" si="83"/>
        <v>0.5</v>
      </c>
      <c r="X164" s="156"/>
    </row>
    <row r="165" spans="1:24" ht="17" x14ac:dyDescent="0.2">
      <c r="A165" s="64" t="s">
        <v>11</v>
      </c>
      <c r="B165" s="65">
        <v>0.1</v>
      </c>
      <c r="C165" s="65">
        <f>C100*2</f>
        <v>0.1</v>
      </c>
      <c r="D165" s="65">
        <v>0</v>
      </c>
      <c r="E165" s="65">
        <v>0</v>
      </c>
      <c r="F165" s="65">
        <v>0</v>
      </c>
      <c r="G165" s="65">
        <v>0</v>
      </c>
      <c r="H165" s="65">
        <v>0</v>
      </c>
      <c r="I165" s="65">
        <v>0</v>
      </c>
      <c r="J165" s="65">
        <v>0</v>
      </c>
      <c r="K165" s="65">
        <v>0.15</v>
      </c>
      <c r="L165" s="65">
        <v>0</v>
      </c>
      <c r="M165" s="65">
        <v>0</v>
      </c>
      <c r="N165" s="65">
        <v>0</v>
      </c>
      <c r="O165" s="87">
        <v>0.5</v>
      </c>
      <c r="P165" s="65">
        <v>0</v>
      </c>
      <c r="Q165" s="66">
        <f t="shared" si="79"/>
        <v>0.15000000000000002</v>
      </c>
      <c r="R165" s="65">
        <f t="shared" si="84"/>
        <v>0.6</v>
      </c>
      <c r="S165" s="57">
        <f t="shared" si="80"/>
        <v>1</v>
      </c>
      <c r="T165" s="57">
        <f t="shared" si="81"/>
        <v>0</v>
      </c>
      <c r="U165" s="57">
        <f t="shared" si="82"/>
        <v>0.25</v>
      </c>
      <c r="V165" s="57">
        <f t="shared" si="83"/>
        <v>0.5</v>
      </c>
      <c r="X165" s="156"/>
    </row>
    <row r="166" spans="1:24" ht="17" x14ac:dyDescent="0.2">
      <c r="A166" s="64" t="s">
        <v>25</v>
      </c>
      <c r="B166" s="65">
        <f>B165</f>
        <v>0.1</v>
      </c>
      <c r="C166" s="65">
        <f t="shared" ref="C166" si="85">C165</f>
        <v>0.1</v>
      </c>
      <c r="D166" s="65">
        <f t="shared" ref="D166" si="86">D165</f>
        <v>0</v>
      </c>
      <c r="E166" s="65">
        <f t="shared" ref="E166" si="87">E165</f>
        <v>0</v>
      </c>
      <c r="F166" s="65">
        <f t="shared" ref="F166" si="88">F165</f>
        <v>0</v>
      </c>
      <c r="G166" s="65">
        <f t="shared" ref="G166" si="89">G165</f>
        <v>0</v>
      </c>
      <c r="H166" s="65">
        <f t="shared" ref="H166" si="90">H165</f>
        <v>0</v>
      </c>
      <c r="I166" s="65">
        <f t="shared" ref="I166" si="91">I165</f>
        <v>0</v>
      </c>
      <c r="J166" s="65">
        <f t="shared" ref="J166" si="92">J165</f>
        <v>0</v>
      </c>
      <c r="K166" s="65">
        <f t="shared" ref="K166" si="93">K165</f>
        <v>0.15</v>
      </c>
      <c r="L166" s="65">
        <f t="shared" ref="L166" si="94">L165</f>
        <v>0</v>
      </c>
      <c r="M166" s="65">
        <f t="shared" ref="M166" si="95">M165</f>
        <v>0</v>
      </c>
      <c r="N166" s="65">
        <f t="shared" ref="N166" si="96">N165</f>
        <v>0</v>
      </c>
      <c r="O166" s="65">
        <v>0.5</v>
      </c>
      <c r="P166" s="65">
        <f t="shared" ref="P166" si="97">P165</f>
        <v>0</v>
      </c>
      <c r="Q166" s="66">
        <f t="shared" si="79"/>
        <v>0.15000000000000002</v>
      </c>
      <c r="R166" s="65">
        <f t="shared" si="84"/>
        <v>0.6</v>
      </c>
      <c r="S166" s="57">
        <f t="shared" si="80"/>
        <v>1</v>
      </c>
      <c r="T166" s="57">
        <f t="shared" si="81"/>
        <v>0</v>
      </c>
      <c r="U166" s="57">
        <f t="shared" si="82"/>
        <v>0.25</v>
      </c>
      <c r="V166" s="57">
        <f t="shared" si="83"/>
        <v>0.5</v>
      </c>
      <c r="X166" s="156"/>
    </row>
    <row r="167" spans="1:24" ht="17" x14ac:dyDescent="0.2">
      <c r="A167" s="64" t="s">
        <v>7</v>
      </c>
      <c r="B167" s="65">
        <v>0</v>
      </c>
      <c r="C167" s="65">
        <v>0.5</v>
      </c>
      <c r="D167" s="65">
        <v>0</v>
      </c>
      <c r="E167" s="65">
        <v>0</v>
      </c>
      <c r="F167" s="65">
        <v>0</v>
      </c>
      <c r="G167" s="65">
        <v>0</v>
      </c>
      <c r="H167" s="65">
        <v>0</v>
      </c>
      <c r="I167" s="65">
        <v>0</v>
      </c>
      <c r="J167" s="65">
        <v>0</v>
      </c>
      <c r="K167" s="65">
        <v>0</v>
      </c>
      <c r="L167" s="65">
        <v>0</v>
      </c>
      <c r="M167" s="65">
        <v>0</v>
      </c>
      <c r="N167" s="65">
        <v>0</v>
      </c>
      <c r="O167" s="65">
        <v>0</v>
      </c>
      <c r="P167" s="65">
        <v>0</v>
      </c>
      <c r="Q167" s="66">
        <f t="shared" si="79"/>
        <v>0.5</v>
      </c>
      <c r="R167" s="65">
        <f t="shared" si="84"/>
        <v>0.5</v>
      </c>
      <c r="S167" s="57">
        <f t="shared" si="80"/>
        <v>1</v>
      </c>
      <c r="T167" s="57">
        <f t="shared" si="81"/>
        <v>0</v>
      </c>
      <c r="U167" s="57">
        <f t="shared" si="82"/>
        <v>0</v>
      </c>
      <c r="V167" s="57">
        <f t="shared" si="83"/>
        <v>0</v>
      </c>
      <c r="X167" s="156"/>
    </row>
    <row r="168" spans="1:24" ht="17" x14ac:dyDescent="0.2">
      <c r="A168" s="64" t="s">
        <v>2</v>
      </c>
      <c r="B168" s="65">
        <f>B103</f>
        <v>0</v>
      </c>
      <c r="C168" s="65">
        <f t="shared" ref="C168:P168" si="98">C103</f>
        <v>0.5</v>
      </c>
      <c r="D168" s="65">
        <f t="shared" si="98"/>
        <v>0</v>
      </c>
      <c r="E168" s="65">
        <f t="shared" si="98"/>
        <v>0.2</v>
      </c>
      <c r="F168" s="65">
        <f t="shared" si="98"/>
        <v>0</v>
      </c>
      <c r="G168" s="65">
        <f t="shared" si="98"/>
        <v>0.1</v>
      </c>
      <c r="H168" s="65">
        <f t="shared" si="98"/>
        <v>0</v>
      </c>
      <c r="I168" s="65">
        <f t="shared" si="98"/>
        <v>0</v>
      </c>
      <c r="J168" s="65">
        <f t="shared" si="98"/>
        <v>0.2</v>
      </c>
      <c r="K168" s="65">
        <f t="shared" si="98"/>
        <v>0</v>
      </c>
      <c r="L168" s="65">
        <f t="shared" si="98"/>
        <v>0</v>
      </c>
      <c r="M168" s="65">
        <f t="shared" si="98"/>
        <v>0</v>
      </c>
      <c r="N168" s="65">
        <f t="shared" si="98"/>
        <v>0</v>
      </c>
      <c r="O168" s="65">
        <f t="shared" si="98"/>
        <v>0</v>
      </c>
      <c r="P168" s="65">
        <f t="shared" si="98"/>
        <v>0</v>
      </c>
      <c r="Q168" s="66">
        <f t="shared" si="79"/>
        <v>0</v>
      </c>
      <c r="R168" s="65">
        <f t="shared" si="84"/>
        <v>1</v>
      </c>
      <c r="S168" s="57">
        <f t="shared" si="80"/>
        <v>1</v>
      </c>
      <c r="T168" s="57">
        <f t="shared" si="81"/>
        <v>0.5</v>
      </c>
      <c r="U168" s="57">
        <f t="shared" si="82"/>
        <v>0</v>
      </c>
      <c r="V168" s="57">
        <f t="shared" si="83"/>
        <v>0</v>
      </c>
      <c r="X168" s="156"/>
    </row>
    <row r="169" spans="1:24" ht="17" x14ac:dyDescent="0.2">
      <c r="A169" s="64" t="s">
        <v>30</v>
      </c>
      <c r="B169" s="65">
        <v>0.1</v>
      </c>
      <c r="C169" s="65">
        <v>0.45</v>
      </c>
      <c r="D169" s="65">
        <f t="shared" ref="D169:I169" si="99">D104</f>
        <v>0</v>
      </c>
      <c r="E169" s="65">
        <f t="shared" si="99"/>
        <v>0</v>
      </c>
      <c r="F169" s="65">
        <f t="shared" si="99"/>
        <v>0</v>
      </c>
      <c r="G169" s="65">
        <f t="shared" si="99"/>
        <v>0</v>
      </c>
      <c r="H169" s="65">
        <f t="shared" si="99"/>
        <v>0</v>
      </c>
      <c r="I169" s="65">
        <f t="shared" si="99"/>
        <v>0</v>
      </c>
      <c r="J169" s="65">
        <f>J104</f>
        <v>0.2</v>
      </c>
      <c r="K169" s="65">
        <f t="shared" ref="K169:P169" si="100">K104</f>
        <v>0</v>
      </c>
      <c r="L169" s="65">
        <f t="shared" si="100"/>
        <v>0</v>
      </c>
      <c r="M169" s="65">
        <f t="shared" si="100"/>
        <v>0</v>
      </c>
      <c r="N169" s="65">
        <f t="shared" si="100"/>
        <v>0</v>
      </c>
      <c r="O169" s="65">
        <f t="shared" si="100"/>
        <v>0</v>
      </c>
      <c r="P169" s="65">
        <f t="shared" si="100"/>
        <v>0</v>
      </c>
      <c r="Q169" s="66">
        <f t="shared" si="79"/>
        <v>0.25</v>
      </c>
      <c r="R169" s="65">
        <f t="shared" si="84"/>
        <v>0.65</v>
      </c>
      <c r="S169" s="57">
        <f t="shared" si="80"/>
        <v>1</v>
      </c>
      <c r="T169" s="57">
        <f t="shared" si="81"/>
        <v>0.2</v>
      </c>
      <c r="U169" s="57">
        <f t="shared" si="82"/>
        <v>0.1</v>
      </c>
      <c r="V169" s="57">
        <f t="shared" si="83"/>
        <v>0</v>
      </c>
      <c r="X169" s="156"/>
    </row>
    <row r="170" spans="1:24" ht="17" x14ac:dyDescent="0.2">
      <c r="A170" s="64" t="s">
        <v>31</v>
      </c>
      <c r="B170" s="65">
        <v>0</v>
      </c>
      <c r="C170" s="65">
        <v>0.85</v>
      </c>
      <c r="D170" s="65">
        <v>0</v>
      </c>
      <c r="E170" s="65">
        <v>0</v>
      </c>
      <c r="F170" s="65">
        <v>0</v>
      </c>
      <c r="G170" s="65">
        <v>0</v>
      </c>
      <c r="H170" s="65">
        <v>0</v>
      </c>
      <c r="I170" s="65">
        <v>0</v>
      </c>
      <c r="J170" s="65">
        <v>0</v>
      </c>
      <c r="K170" s="65">
        <v>0</v>
      </c>
      <c r="L170" s="65">
        <v>0</v>
      </c>
      <c r="M170" s="65">
        <v>0</v>
      </c>
      <c r="N170" s="65">
        <v>0</v>
      </c>
      <c r="O170" s="65">
        <v>0</v>
      </c>
      <c r="P170" s="65">
        <v>0</v>
      </c>
      <c r="Q170" s="66">
        <f t="shared" si="79"/>
        <v>0.15000000000000002</v>
      </c>
      <c r="R170" s="65">
        <f t="shared" si="84"/>
        <v>0.85</v>
      </c>
      <c r="S170" s="57">
        <f t="shared" si="80"/>
        <v>1</v>
      </c>
      <c r="T170" s="57">
        <f t="shared" si="81"/>
        <v>0</v>
      </c>
      <c r="U170" s="57">
        <f t="shared" si="82"/>
        <v>0</v>
      </c>
      <c r="V170" s="57">
        <f t="shared" si="83"/>
        <v>0</v>
      </c>
      <c r="X170" s="156"/>
    </row>
    <row r="171" spans="1:24" ht="17" x14ac:dyDescent="0.2">
      <c r="A171" s="64" t="s">
        <v>122</v>
      </c>
      <c r="B171" s="65">
        <v>0.1</v>
      </c>
      <c r="C171" s="65">
        <v>0</v>
      </c>
      <c r="D171" s="65">
        <v>0</v>
      </c>
      <c r="E171" s="65">
        <v>0.45</v>
      </c>
      <c r="F171" s="65">
        <v>0</v>
      </c>
      <c r="G171" s="65">
        <v>0.45</v>
      </c>
      <c r="H171" s="65">
        <v>0</v>
      </c>
      <c r="I171" s="65">
        <v>0</v>
      </c>
      <c r="J171" s="65">
        <v>0</v>
      </c>
      <c r="K171" s="65">
        <v>0</v>
      </c>
      <c r="L171" s="65">
        <v>0</v>
      </c>
      <c r="M171" s="65">
        <v>0</v>
      </c>
      <c r="N171" s="65">
        <v>0</v>
      </c>
      <c r="O171" s="65">
        <v>0</v>
      </c>
      <c r="P171" s="65">
        <v>0</v>
      </c>
      <c r="Q171" s="66">
        <f t="shared" si="79"/>
        <v>0</v>
      </c>
      <c r="R171" s="65">
        <f t="shared" si="84"/>
        <v>0.9</v>
      </c>
      <c r="S171" s="57">
        <f t="shared" si="80"/>
        <v>1</v>
      </c>
      <c r="T171" s="57">
        <f t="shared" si="81"/>
        <v>0.9</v>
      </c>
      <c r="U171" s="57">
        <f t="shared" si="82"/>
        <v>0.1</v>
      </c>
      <c r="V171" s="57">
        <f t="shared" si="83"/>
        <v>0</v>
      </c>
      <c r="X171" s="156"/>
    </row>
    <row r="172" spans="1:24" ht="17" x14ac:dyDescent="0.2">
      <c r="A172" s="64" t="s">
        <v>32</v>
      </c>
      <c r="B172" s="65">
        <v>0</v>
      </c>
      <c r="C172" s="65">
        <v>0.9</v>
      </c>
      <c r="D172" s="65">
        <v>0</v>
      </c>
      <c r="E172" s="65">
        <v>0</v>
      </c>
      <c r="F172" s="65">
        <v>0</v>
      </c>
      <c r="G172" s="65">
        <v>0</v>
      </c>
      <c r="H172" s="65">
        <v>0</v>
      </c>
      <c r="I172" s="65">
        <v>0</v>
      </c>
      <c r="J172" s="65">
        <v>0</v>
      </c>
      <c r="K172" s="65">
        <v>0</v>
      </c>
      <c r="L172" s="65">
        <v>0</v>
      </c>
      <c r="M172" s="65">
        <v>0</v>
      </c>
      <c r="N172" s="65">
        <v>0</v>
      </c>
      <c r="O172" s="65">
        <v>0</v>
      </c>
      <c r="P172" s="65">
        <v>0</v>
      </c>
      <c r="Q172" s="66">
        <f t="shared" si="79"/>
        <v>9.9999999999999978E-2</v>
      </c>
      <c r="R172" s="65">
        <f t="shared" si="84"/>
        <v>0.9</v>
      </c>
      <c r="S172" s="57">
        <f t="shared" si="80"/>
        <v>1</v>
      </c>
      <c r="T172" s="57">
        <f t="shared" si="81"/>
        <v>0</v>
      </c>
      <c r="U172" s="57">
        <f t="shared" si="82"/>
        <v>0</v>
      </c>
      <c r="V172" s="57">
        <f t="shared" si="83"/>
        <v>0</v>
      </c>
      <c r="X172" s="156"/>
    </row>
    <row r="173" spans="1:24" ht="34" x14ac:dyDescent="0.2">
      <c r="A173" s="64" t="s">
        <v>105</v>
      </c>
      <c r="B173" s="114">
        <v>0</v>
      </c>
      <c r="C173" s="114">
        <v>0</v>
      </c>
      <c r="D173" s="114">
        <v>0</v>
      </c>
      <c r="E173" s="114">
        <v>0</v>
      </c>
      <c r="F173" s="114">
        <v>0</v>
      </c>
      <c r="G173" s="114">
        <v>0</v>
      </c>
      <c r="H173" s="114">
        <v>0</v>
      </c>
      <c r="I173" s="114">
        <v>0</v>
      </c>
      <c r="J173" s="114">
        <v>0</v>
      </c>
      <c r="K173" s="114">
        <v>0</v>
      </c>
      <c r="L173" s="114">
        <v>0</v>
      </c>
      <c r="M173" s="114">
        <v>0</v>
      </c>
      <c r="N173" s="114">
        <v>0</v>
      </c>
      <c r="O173" s="114">
        <v>0</v>
      </c>
      <c r="P173" s="114">
        <f>PlasticsUse!$D$41*1</f>
        <v>0.80600000000000005</v>
      </c>
      <c r="Q173" s="66">
        <f t="shared" si="79"/>
        <v>0.19399999999999995</v>
      </c>
      <c r="R173" s="72">
        <f>SUM(C173:J173,L173:P173)</f>
        <v>0.80600000000000005</v>
      </c>
      <c r="S173" s="57">
        <f t="shared" si="80"/>
        <v>1</v>
      </c>
      <c r="T173" s="57">
        <f t="shared" si="81"/>
        <v>0</v>
      </c>
      <c r="U173" s="57">
        <f t="shared" si="82"/>
        <v>0</v>
      </c>
      <c r="V173" s="57">
        <f t="shared" si="83"/>
        <v>0</v>
      </c>
      <c r="X173" s="156"/>
    </row>
    <row r="174" spans="1:24" x14ac:dyDescent="0.2">
      <c r="A174" s="40" t="s">
        <v>576</v>
      </c>
      <c r="B174" s="117">
        <f>B160</f>
        <v>0.1</v>
      </c>
      <c r="C174" s="117">
        <f t="shared" ref="C174:P174" si="101">C160</f>
        <v>0.45</v>
      </c>
      <c r="D174" s="117">
        <f t="shared" si="101"/>
        <v>0</v>
      </c>
      <c r="E174" s="117">
        <f t="shared" si="101"/>
        <v>0</v>
      </c>
      <c r="F174" s="117">
        <f t="shared" si="101"/>
        <v>0</v>
      </c>
      <c r="G174" s="117">
        <f t="shared" si="101"/>
        <v>0</v>
      </c>
      <c r="H174" s="117">
        <f t="shared" si="101"/>
        <v>0</v>
      </c>
      <c r="I174" s="117">
        <f t="shared" si="101"/>
        <v>0</v>
      </c>
      <c r="J174" s="117">
        <f t="shared" si="101"/>
        <v>0</v>
      </c>
      <c r="K174" s="117">
        <f t="shared" si="101"/>
        <v>0.15</v>
      </c>
      <c r="L174" s="117">
        <f t="shared" si="101"/>
        <v>0</v>
      </c>
      <c r="M174" s="117">
        <f t="shared" si="101"/>
        <v>0</v>
      </c>
      <c r="N174" s="117">
        <f t="shared" si="101"/>
        <v>0</v>
      </c>
      <c r="O174" s="117">
        <f t="shared" si="101"/>
        <v>0</v>
      </c>
      <c r="P174" s="117">
        <f t="shared" si="101"/>
        <v>0</v>
      </c>
      <c r="Q174" s="119">
        <f t="shared" ref="Q174:Q175" si="102">1-SUM(B174:P174)</f>
        <v>0.29999999999999993</v>
      </c>
      <c r="R174" s="72">
        <f t="shared" ref="R174:R175" si="103">SUM(C174:J174,L174:P174)</f>
        <v>0.45</v>
      </c>
      <c r="S174" s="57">
        <f t="shared" si="80"/>
        <v>1</v>
      </c>
      <c r="T174" s="57">
        <f t="shared" ref="T174:T175" si="104">SUM(D174:G174,I174:J174,L174:M174)</f>
        <v>0</v>
      </c>
      <c r="U174" s="57">
        <f t="shared" ref="U174:U175" si="105">B174+K174</f>
        <v>0.25</v>
      </c>
      <c r="V174" s="57">
        <f t="shared" ref="V174:V175" si="106">SUM(N174:O174)</f>
        <v>0</v>
      </c>
      <c r="X174" s="156"/>
    </row>
    <row r="175" spans="1:24" x14ac:dyDescent="0.2">
      <c r="A175" s="40" t="s">
        <v>575</v>
      </c>
      <c r="B175" s="117">
        <f>B160</f>
        <v>0.1</v>
      </c>
      <c r="C175" s="117">
        <f t="shared" ref="C175:P175" si="107">C160</f>
        <v>0.45</v>
      </c>
      <c r="D175" s="117">
        <f t="shared" si="107"/>
        <v>0</v>
      </c>
      <c r="E175" s="117">
        <f t="shared" si="107"/>
        <v>0</v>
      </c>
      <c r="F175" s="117">
        <f t="shared" si="107"/>
        <v>0</v>
      </c>
      <c r="G175" s="117">
        <f t="shared" si="107"/>
        <v>0</v>
      </c>
      <c r="H175" s="117">
        <f t="shared" si="107"/>
        <v>0</v>
      </c>
      <c r="I175" s="117">
        <f t="shared" si="107"/>
        <v>0</v>
      </c>
      <c r="J175" s="117">
        <f t="shared" si="107"/>
        <v>0</v>
      </c>
      <c r="K175" s="117">
        <f t="shared" si="107"/>
        <v>0.15</v>
      </c>
      <c r="L175" s="117">
        <f t="shared" si="107"/>
        <v>0</v>
      </c>
      <c r="M175" s="117">
        <f t="shared" si="107"/>
        <v>0</v>
      </c>
      <c r="N175" s="117">
        <f t="shared" si="107"/>
        <v>0</v>
      </c>
      <c r="O175" s="117">
        <f t="shared" si="107"/>
        <v>0</v>
      </c>
      <c r="P175" s="117">
        <f t="shared" si="107"/>
        <v>0</v>
      </c>
      <c r="Q175" s="119">
        <f t="shared" si="102"/>
        <v>0.29999999999999993</v>
      </c>
      <c r="R175" s="72">
        <f t="shared" si="103"/>
        <v>0.45</v>
      </c>
      <c r="S175" s="57">
        <f t="shared" si="80"/>
        <v>1</v>
      </c>
      <c r="T175" s="57">
        <f t="shared" si="104"/>
        <v>0</v>
      </c>
      <c r="U175" s="57">
        <f t="shared" si="105"/>
        <v>0.25</v>
      </c>
      <c r="V175" s="57">
        <f t="shared" si="106"/>
        <v>0</v>
      </c>
      <c r="X175" s="156"/>
    </row>
    <row r="176" spans="1:24" x14ac:dyDescent="0.2">
      <c r="A176" t="s">
        <v>233</v>
      </c>
      <c r="B176" s="69"/>
      <c r="C176" s="69"/>
      <c r="D176" s="69"/>
      <c r="E176" s="69"/>
      <c r="F176" s="69"/>
      <c r="G176" s="69"/>
      <c r="H176" s="69"/>
      <c r="I176" s="69"/>
      <c r="J176" s="69"/>
      <c r="K176" s="69"/>
      <c r="L176" s="69"/>
      <c r="M176" s="69"/>
      <c r="N176" s="69"/>
      <c r="O176" s="69"/>
      <c r="P176" s="69"/>
      <c r="Q176" s="69"/>
    </row>
    <row r="178" spans="1:23" x14ac:dyDescent="0.2">
      <c r="A178" s="61" t="s">
        <v>232</v>
      </c>
      <c r="T178" s="193" t="s">
        <v>363</v>
      </c>
      <c r="U178" s="194"/>
      <c r="V178" s="195"/>
    </row>
    <row r="179" spans="1:23" ht="68" x14ac:dyDescent="0.2">
      <c r="A179" s="62" t="s">
        <v>212</v>
      </c>
      <c r="B179" s="63" t="s">
        <v>213</v>
      </c>
      <c r="C179" s="63" t="s">
        <v>215</v>
      </c>
      <c r="D179" s="63" t="s">
        <v>216</v>
      </c>
      <c r="E179" s="63" t="s">
        <v>217</v>
      </c>
      <c r="F179" s="63" t="s">
        <v>218</v>
      </c>
      <c r="G179" s="63" t="s">
        <v>219</v>
      </c>
      <c r="H179" s="63" t="s">
        <v>302</v>
      </c>
      <c r="I179" s="63" t="s">
        <v>220</v>
      </c>
      <c r="J179" s="63" t="s">
        <v>221</v>
      </c>
      <c r="K179" s="63" t="s">
        <v>222</v>
      </c>
      <c r="L179" s="63" t="s">
        <v>223</v>
      </c>
      <c r="M179" s="63" t="s">
        <v>224</v>
      </c>
      <c r="N179" s="63" t="s">
        <v>225</v>
      </c>
      <c r="O179" s="63" t="s">
        <v>226</v>
      </c>
      <c r="P179" s="63" t="s">
        <v>279</v>
      </c>
      <c r="Q179" s="62" t="s">
        <v>210</v>
      </c>
      <c r="R179" s="63" t="s">
        <v>278</v>
      </c>
      <c r="S179" s="73" t="s">
        <v>110</v>
      </c>
      <c r="T179" s="89" t="s">
        <v>283</v>
      </c>
      <c r="U179" s="89" t="s">
        <v>293</v>
      </c>
      <c r="V179" s="89" t="s">
        <v>282</v>
      </c>
    </row>
    <row r="180" spans="1:23" ht="17" x14ac:dyDescent="0.2">
      <c r="A180" s="64" t="s">
        <v>82</v>
      </c>
      <c r="B180" s="65">
        <v>0</v>
      </c>
      <c r="C180" s="65">
        <v>0</v>
      </c>
      <c r="D180" s="65">
        <v>0</v>
      </c>
      <c r="E180" s="65">
        <v>0.55000000000000004</v>
      </c>
      <c r="F180" s="65">
        <v>0.05</v>
      </c>
      <c r="G180" s="65">
        <v>0.15</v>
      </c>
      <c r="H180" s="65">
        <v>0</v>
      </c>
      <c r="I180" s="65">
        <v>0.05</v>
      </c>
      <c r="J180" s="65">
        <v>0</v>
      </c>
      <c r="K180" s="65">
        <f>1-SUM(B180:J180,L180:O180)</f>
        <v>0</v>
      </c>
      <c r="L180" s="65">
        <v>0.15</v>
      </c>
      <c r="M180" s="65">
        <v>0.05</v>
      </c>
      <c r="N180" s="65">
        <v>0</v>
      </c>
      <c r="O180" s="65">
        <v>0</v>
      </c>
      <c r="P180" s="65">
        <v>0</v>
      </c>
      <c r="Q180" s="66">
        <f t="shared" ref="Q180:Q194" si="108">1-SUM(B180:P180)</f>
        <v>0</v>
      </c>
      <c r="R180" s="65">
        <f>SUM(C180:J180,L180:O180)</f>
        <v>1.0000000000000002</v>
      </c>
      <c r="S180" s="57">
        <f>SUM(B180:Q180)</f>
        <v>1.0000000000000002</v>
      </c>
      <c r="T180" s="57">
        <f>SUM(D180:G180,I180:J180,L180:M180)</f>
        <v>1.0000000000000002</v>
      </c>
      <c r="U180" s="57">
        <f>B180+K180</f>
        <v>0</v>
      </c>
      <c r="V180" s="57">
        <f>SUM(N180:O180)</f>
        <v>0</v>
      </c>
      <c r="W180" s="156"/>
    </row>
    <row r="181" spans="1:23" ht="17" x14ac:dyDescent="0.2">
      <c r="A181" s="64" t="s">
        <v>127</v>
      </c>
      <c r="B181" s="65">
        <v>0.05</v>
      </c>
      <c r="C181" s="65">
        <v>0.45</v>
      </c>
      <c r="D181" s="65">
        <v>0</v>
      </c>
      <c r="E181" s="65">
        <v>0.3</v>
      </c>
      <c r="F181" s="65">
        <v>0</v>
      </c>
      <c r="G181" s="65">
        <v>0.05</v>
      </c>
      <c r="H181" s="65">
        <v>0</v>
      </c>
      <c r="I181" s="65">
        <v>0</v>
      </c>
      <c r="J181" s="65">
        <v>0</v>
      </c>
      <c r="K181" s="65">
        <v>0.05</v>
      </c>
      <c r="L181" s="65">
        <v>0</v>
      </c>
      <c r="M181" s="65">
        <v>0</v>
      </c>
      <c r="N181" s="65">
        <v>0</v>
      </c>
      <c r="O181" s="65">
        <v>0</v>
      </c>
      <c r="P181" s="65">
        <v>0</v>
      </c>
      <c r="Q181" s="66">
        <f t="shared" si="108"/>
        <v>9.9999999999999867E-2</v>
      </c>
      <c r="R181" s="65">
        <f>SUM(C181:O181)</f>
        <v>0.85000000000000009</v>
      </c>
      <c r="S181" s="57">
        <f t="shared" ref="S181:S196" si="109">SUM(B181:Q181)</f>
        <v>1</v>
      </c>
      <c r="T181" s="57">
        <f t="shared" ref="T181:T194" si="110">SUM(D181:G181,I181:J181,L181:M181)</f>
        <v>0.35</v>
      </c>
      <c r="U181" s="57">
        <f t="shared" ref="U181:U194" si="111">B181+K181</f>
        <v>0.1</v>
      </c>
      <c r="V181" s="57">
        <f t="shared" ref="V181:V194" si="112">SUM(N181:O181)</f>
        <v>0</v>
      </c>
      <c r="W181" s="156"/>
    </row>
    <row r="182" spans="1:23" ht="17" x14ac:dyDescent="0.2">
      <c r="A182" s="64" t="s">
        <v>8</v>
      </c>
      <c r="B182" s="65">
        <v>0.05</v>
      </c>
      <c r="C182" s="65">
        <f>C161*2</f>
        <v>0.8</v>
      </c>
      <c r="D182" s="65">
        <v>0</v>
      </c>
      <c r="E182" s="65">
        <v>0</v>
      </c>
      <c r="F182" s="65">
        <v>0</v>
      </c>
      <c r="G182" s="65">
        <v>0</v>
      </c>
      <c r="H182" s="65">
        <v>0</v>
      </c>
      <c r="I182" s="65">
        <v>0</v>
      </c>
      <c r="J182" s="67">
        <v>0</v>
      </c>
      <c r="K182" s="65">
        <v>0.05</v>
      </c>
      <c r="L182" s="65">
        <v>0</v>
      </c>
      <c r="M182" s="65">
        <v>0</v>
      </c>
      <c r="N182" s="65">
        <v>0</v>
      </c>
      <c r="O182" s="65">
        <v>0</v>
      </c>
      <c r="P182" s="65">
        <v>0</v>
      </c>
      <c r="Q182" s="66">
        <f t="shared" si="108"/>
        <v>9.9999999999999867E-2</v>
      </c>
      <c r="R182" s="65">
        <f>SUM(C182:O182)</f>
        <v>0.85000000000000009</v>
      </c>
      <c r="S182" s="57">
        <f t="shared" si="109"/>
        <v>1</v>
      </c>
      <c r="T182" s="57">
        <f t="shared" si="110"/>
        <v>0</v>
      </c>
      <c r="U182" s="57">
        <f t="shared" si="111"/>
        <v>0.1</v>
      </c>
      <c r="V182" s="57">
        <f t="shared" si="112"/>
        <v>0</v>
      </c>
      <c r="W182" s="156"/>
    </row>
    <row r="183" spans="1:23" ht="17" x14ac:dyDescent="0.2">
      <c r="A183" s="64" t="s">
        <v>19</v>
      </c>
      <c r="B183" s="65">
        <v>0.05</v>
      </c>
      <c r="C183" s="65">
        <f>C162*2</f>
        <v>0.8</v>
      </c>
      <c r="D183" s="65">
        <v>0</v>
      </c>
      <c r="E183" s="65">
        <v>0</v>
      </c>
      <c r="F183" s="65">
        <v>0</v>
      </c>
      <c r="G183" s="65">
        <v>0</v>
      </c>
      <c r="H183" s="65">
        <v>0</v>
      </c>
      <c r="I183" s="65">
        <v>0</v>
      </c>
      <c r="J183" s="65">
        <v>0</v>
      </c>
      <c r="K183" s="65">
        <v>0.05</v>
      </c>
      <c r="L183" s="65">
        <v>0</v>
      </c>
      <c r="M183" s="65">
        <v>0</v>
      </c>
      <c r="N183" s="65">
        <v>0</v>
      </c>
      <c r="O183" s="65">
        <v>0</v>
      </c>
      <c r="P183" s="65">
        <v>0</v>
      </c>
      <c r="Q183" s="66">
        <f t="shared" si="108"/>
        <v>9.9999999999999867E-2</v>
      </c>
      <c r="R183" s="65">
        <f t="shared" ref="R183:R193" si="113">SUM(C183:J183,L183:O183)</f>
        <v>0.8</v>
      </c>
      <c r="S183" s="57">
        <f t="shared" si="109"/>
        <v>1</v>
      </c>
      <c r="T183" s="57">
        <f t="shared" si="110"/>
        <v>0</v>
      </c>
      <c r="U183" s="57">
        <f t="shared" si="111"/>
        <v>0.1</v>
      </c>
      <c r="V183" s="57">
        <f t="shared" si="112"/>
        <v>0</v>
      </c>
      <c r="W183" s="156"/>
    </row>
    <row r="184" spans="1:23" ht="17" x14ac:dyDescent="0.2">
      <c r="A184" s="64" t="s">
        <v>1</v>
      </c>
      <c r="B184" s="65">
        <v>0</v>
      </c>
      <c r="C184" s="65">
        <v>1</v>
      </c>
      <c r="D184" s="65">
        <v>0</v>
      </c>
      <c r="E184" s="65">
        <v>0</v>
      </c>
      <c r="F184" s="65">
        <v>0</v>
      </c>
      <c r="G184" s="65">
        <v>0</v>
      </c>
      <c r="H184" s="65">
        <v>0</v>
      </c>
      <c r="I184" s="65">
        <v>0</v>
      </c>
      <c r="J184" s="65">
        <v>0</v>
      </c>
      <c r="K184" s="65">
        <v>0</v>
      </c>
      <c r="L184" s="65">
        <v>0</v>
      </c>
      <c r="M184" s="65">
        <v>0</v>
      </c>
      <c r="N184" s="65">
        <v>0</v>
      </c>
      <c r="O184" s="65">
        <v>0</v>
      </c>
      <c r="P184" s="65">
        <v>0</v>
      </c>
      <c r="Q184" s="66">
        <f t="shared" si="108"/>
        <v>0</v>
      </c>
      <c r="R184" s="65">
        <f t="shared" si="113"/>
        <v>1</v>
      </c>
      <c r="S184" s="57">
        <f t="shared" si="109"/>
        <v>1</v>
      </c>
      <c r="T184" s="57">
        <f t="shared" si="110"/>
        <v>0</v>
      </c>
      <c r="U184" s="57">
        <f t="shared" si="111"/>
        <v>0</v>
      </c>
      <c r="V184" s="57">
        <f t="shared" si="112"/>
        <v>0</v>
      </c>
      <c r="W184" s="156"/>
    </row>
    <row r="185" spans="1:23" ht="17" x14ac:dyDescent="0.2">
      <c r="A185" s="64" t="s">
        <v>10</v>
      </c>
      <c r="B185" s="65">
        <v>0</v>
      </c>
      <c r="C185" s="65">
        <f>C164*2</f>
        <v>0.2</v>
      </c>
      <c r="D185" s="65">
        <v>0</v>
      </c>
      <c r="E185" s="65">
        <v>0</v>
      </c>
      <c r="F185" s="65">
        <v>0</v>
      </c>
      <c r="G185" s="65">
        <v>0</v>
      </c>
      <c r="H185" s="65">
        <v>0</v>
      </c>
      <c r="I185" s="65">
        <v>0</v>
      </c>
      <c r="J185" s="65">
        <v>0</v>
      </c>
      <c r="K185" s="65">
        <v>0</v>
      </c>
      <c r="L185" s="65">
        <v>0</v>
      </c>
      <c r="M185" s="65">
        <v>0</v>
      </c>
      <c r="N185" s="65">
        <f>1-SUM(B185:M185)</f>
        <v>0.8</v>
      </c>
      <c r="O185" s="65">
        <v>0</v>
      </c>
      <c r="P185" s="65">
        <v>0</v>
      </c>
      <c r="Q185" s="66">
        <f t="shared" si="108"/>
        <v>0</v>
      </c>
      <c r="R185" s="65">
        <f t="shared" si="113"/>
        <v>1</v>
      </c>
      <c r="S185" s="57">
        <f t="shared" si="109"/>
        <v>1</v>
      </c>
      <c r="T185" s="57">
        <f t="shared" si="110"/>
        <v>0</v>
      </c>
      <c r="U185" s="57">
        <f t="shared" si="111"/>
        <v>0</v>
      </c>
      <c r="V185" s="57">
        <f t="shared" si="112"/>
        <v>0.8</v>
      </c>
      <c r="W185" s="156"/>
    </row>
    <row r="186" spans="1:23" ht="17" x14ac:dyDescent="0.2">
      <c r="A186" s="64" t="s">
        <v>11</v>
      </c>
      <c r="B186" s="65">
        <v>0</v>
      </c>
      <c r="C186" s="65">
        <f>C165*2</f>
        <v>0.2</v>
      </c>
      <c r="D186" s="65">
        <v>0</v>
      </c>
      <c r="E186" s="65">
        <v>0</v>
      </c>
      <c r="F186" s="65">
        <v>0</v>
      </c>
      <c r="G186" s="65">
        <v>0</v>
      </c>
      <c r="H186" s="65">
        <v>0</v>
      </c>
      <c r="I186" s="65">
        <v>0</v>
      </c>
      <c r="J186" s="65">
        <v>0</v>
      </c>
      <c r="K186" s="65">
        <v>0</v>
      </c>
      <c r="L186" s="65">
        <v>0</v>
      </c>
      <c r="M186" s="65">
        <v>0</v>
      </c>
      <c r="N186" s="65">
        <v>0</v>
      </c>
      <c r="O186" s="65">
        <f>1-SUM(B186:N186)</f>
        <v>0.8</v>
      </c>
      <c r="P186" s="65">
        <v>0</v>
      </c>
      <c r="Q186" s="66">
        <f t="shared" si="108"/>
        <v>0</v>
      </c>
      <c r="R186" s="65">
        <f t="shared" si="113"/>
        <v>1</v>
      </c>
      <c r="S186" s="57">
        <f t="shared" si="109"/>
        <v>1</v>
      </c>
      <c r="T186" s="57">
        <f t="shared" si="110"/>
        <v>0</v>
      </c>
      <c r="U186" s="57">
        <f t="shared" si="111"/>
        <v>0</v>
      </c>
      <c r="V186" s="57">
        <f t="shared" si="112"/>
        <v>0.8</v>
      </c>
      <c r="W186" s="156"/>
    </row>
    <row r="187" spans="1:23" ht="17" x14ac:dyDescent="0.2">
      <c r="A187" s="64" t="s">
        <v>25</v>
      </c>
      <c r="B187" s="65">
        <f>B186</f>
        <v>0</v>
      </c>
      <c r="C187" s="65">
        <f t="shared" ref="C187:P187" si="114">C186</f>
        <v>0.2</v>
      </c>
      <c r="D187" s="65">
        <f t="shared" si="114"/>
        <v>0</v>
      </c>
      <c r="E187" s="65">
        <f t="shared" si="114"/>
        <v>0</v>
      </c>
      <c r="F187" s="65">
        <f t="shared" si="114"/>
        <v>0</v>
      </c>
      <c r="G187" s="65">
        <f t="shared" si="114"/>
        <v>0</v>
      </c>
      <c r="H187" s="65">
        <f t="shared" si="114"/>
        <v>0</v>
      </c>
      <c r="I187" s="65">
        <f t="shared" si="114"/>
        <v>0</v>
      </c>
      <c r="J187" s="65">
        <f t="shared" si="114"/>
        <v>0</v>
      </c>
      <c r="K187" s="65">
        <f t="shared" si="114"/>
        <v>0</v>
      </c>
      <c r="L187" s="65">
        <f t="shared" si="114"/>
        <v>0</v>
      </c>
      <c r="M187" s="65">
        <f t="shared" si="114"/>
        <v>0</v>
      </c>
      <c r="N187" s="65">
        <f t="shared" si="114"/>
        <v>0</v>
      </c>
      <c r="O187" s="65">
        <f t="shared" si="114"/>
        <v>0.8</v>
      </c>
      <c r="P187" s="65">
        <f t="shared" si="114"/>
        <v>0</v>
      </c>
      <c r="Q187" s="66">
        <f t="shared" si="108"/>
        <v>0</v>
      </c>
      <c r="R187" s="65">
        <f t="shared" si="113"/>
        <v>1</v>
      </c>
      <c r="S187" s="57">
        <f t="shared" si="109"/>
        <v>1</v>
      </c>
      <c r="T187" s="57">
        <f t="shared" si="110"/>
        <v>0</v>
      </c>
      <c r="U187" s="57">
        <f t="shared" si="111"/>
        <v>0</v>
      </c>
      <c r="V187" s="57">
        <f t="shared" si="112"/>
        <v>0.8</v>
      </c>
      <c r="W187" s="156"/>
    </row>
    <row r="188" spans="1:23" ht="17" x14ac:dyDescent="0.2">
      <c r="A188" s="64" t="s">
        <v>7</v>
      </c>
      <c r="B188" s="65">
        <v>0</v>
      </c>
      <c r="C188" s="65">
        <v>0.65</v>
      </c>
      <c r="D188" s="65">
        <v>0</v>
      </c>
      <c r="E188" s="65">
        <v>0</v>
      </c>
      <c r="F188" s="65">
        <v>0</v>
      </c>
      <c r="G188" s="65">
        <v>0</v>
      </c>
      <c r="H188" s="65">
        <v>0</v>
      </c>
      <c r="I188" s="65">
        <v>0</v>
      </c>
      <c r="J188" s="65">
        <v>0</v>
      </c>
      <c r="K188" s="65">
        <v>0</v>
      </c>
      <c r="L188" s="65">
        <v>0</v>
      </c>
      <c r="M188" s="65">
        <v>0</v>
      </c>
      <c r="N188" s="65">
        <v>0</v>
      </c>
      <c r="O188" s="65">
        <v>0</v>
      </c>
      <c r="P188" s="65">
        <v>0</v>
      </c>
      <c r="Q188" s="66">
        <f t="shared" si="108"/>
        <v>0.35</v>
      </c>
      <c r="R188" s="65">
        <f t="shared" si="113"/>
        <v>0.65</v>
      </c>
      <c r="S188" s="57">
        <f t="shared" si="109"/>
        <v>1</v>
      </c>
      <c r="T188" s="57">
        <f t="shared" si="110"/>
        <v>0</v>
      </c>
      <c r="U188" s="57">
        <f t="shared" si="111"/>
        <v>0</v>
      </c>
      <c r="V188" s="57">
        <f t="shared" si="112"/>
        <v>0</v>
      </c>
      <c r="W188" s="156"/>
    </row>
    <row r="189" spans="1:23" ht="17" x14ac:dyDescent="0.2">
      <c r="A189" s="64" t="s">
        <v>2</v>
      </c>
      <c r="B189" s="65">
        <f>B125</f>
        <v>0</v>
      </c>
      <c r="C189" s="65">
        <f t="shared" ref="C189:P189" si="115">C125</f>
        <v>0.28000000000000003</v>
      </c>
      <c r="D189" s="65">
        <f t="shared" si="115"/>
        <v>0.05</v>
      </c>
      <c r="E189" s="65">
        <f t="shared" si="115"/>
        <v>0.2</v>
      </c>
      <c r="F189" s="65">
        <f t="shared" si="115"/>
        <v>0</v>
      </c>
      <c r="G189" s="65">
        <f t="shared" si="115"/>
        <v>0.15</v>
      </c>
      <c r="H189" s="65">
        <f t="shared" si="115"/>
        <v>7.0000000000000007E-2</v>
      </c>
      <c r="I189" s="65">
        <f t="shared" si="115"/>
        <v>0.05</v>
      </c>
      <c r="J189" s="65">
        <f t="shared" si="115"/>
        <v>0.2</v>
      </c>
      <c r="K189" s="65">
        <f t="shared" si="115"/>
        <v>0</v>
      </c>
      <c r="L189" s="65">
        <f t="shared" si="115"/>
        <v>0</v>
      </c>
      <c r="M189" s="65">
        <f t="shared" si="115"/>
        <v>0</v>
      </c>
      <c r="N189" s="65">
        <f t="shared" si="115"/>
        <v>0</v>
      </c>
      <c r="O189" s="65">
        <f t="shared" si="115"/>
        <v>0</v>
      </c>
      <c r="P189" s="65">
        <f t="shared" si="115"/>
        <v>0</v>
      </c>
      <c r="Q189" s="66">
        <f t="shared" si="108"/>
        <v>0</v>
      </c>
      <c r="R189" s="65">
        <f t="shared" si="113"/>
        <v>1</v>
      </c>
      <c r="S189" s="57">
        <f t="shared" si="109"/>
        <v>1</v>
      </c>
      <c r="T189" s="57">
        <f t="shared" si="110"/>
        <v>0.65</v>
      </c>
      <c r="U189" s="57">
        <f t="shared" si="111"/>
        <v>0</v>
      </c>
      <c r="V189" s="57">
        <f t="shared" si="112"/>
        <v>0</v>
      </c>
      <c r="W189" s="156"/>
    </row>
    <row r="190" spans="1:23" ht="17" x14ac:dyDescent="0.2">
      <c r="A190" s="64" t="s">
        <v>30</v>
      </c>
      <c r="B190" s="65">
        <v>0</v>
      </c>
      <c r="C190" s="65">
        <v>0.5</v>
      </c>
      <c r="D190" s="65">
        <f>D126</f>
        <v>0</v>
      </c>
      <c r="E190" s="65">
        <v>0.1</v>
      </c>
      <c r="F190" s="65">
        <f t="shared" ref="F190:P190" si="116">F126</f>
        <v>0</v>
      </c>
      <c r="G190" s="65">
        <f t="shared" si="116"/>
        <v>0</v>
      </c>
      <c r="H190" s="65">
        <f t="shared" si="116"/>
        <v>0</v>
      </c>
      <c r="I190" s="65">
        <f t="shared" si="116"/>
        <v>0</v>
      </c>
      <c r="J190" s="65">
        <v>0.35</v>
      </c>
      <c r="K190" s="65">
        <f t="shared" si="116"/>
        <v>0</v>
      </c>
      <c r="L190" s="65">
        <f t="shared" si="116"/>
        <v>0.05</v>
      </c>
      <c r="M190" s="65">
        <f t="shared" si="116"/>
        <v>0</v>
      </c>
      <c r="N190" s="65">
        <f t="shared" si="116"/>
        <v>0</v>
      </c>
      <c r="O190" s="65">
        <f t="shared" si="116"/>
        <v>0</v>
      </c>
      <c r="P190" s="65">
        <f t="shared" si="116"/>
        <v>0</v>
      </c>
      <c r="Q190" s="66">
        <f t="shared" si="108"/>
        <v>0</v>
      </c>
      <c r="R190" s="65">
        <f t="shared" si="113"/>
        <v>1</v>
      </c>
      <c r="S190" s="57">
        <f t="shared" si="109"/>
        <v>1</v>
      </c>
      <c r="T190" s="57">
        <f t="shared" si="110"/>
        <v>0.49999999999999994</v>
      </c>
      <c r="U190" s="57">
        <f t="shared" si="111"/>
        <v>0</v>
      </c>
      <c r="V190" s="57">
        <f t="shared" si="112"/>
        <v>0</v>
      </c>
      <c r="W190" s="156"/>
    </row>
    <row r="191" spans="1:23" ht="17" x14ac:dyDescent="0.2">
      <c r="A191" s="64" t="s">
        <v>31</v>
      </c>
      <c r="B191" s="65">
        <v>0</v>
      </c>
      <c r="C191" s="65">
        <v>0.9</v>
      </c>
      <c r="D191" s="65">
        <v>0</v>
      </c>
      <c r="E191" s="65">
        <v>0</v>
      </c>
      <c r="F191" s="65">
        <v>0</v>
      </c>
      <c r="G191" s="65">
        <v>0</v>
      </c>
      <c r="H191" s="65">
        <v>0</v>
      </c>
      <c r="I191" s="65">
        <v>0</v>
      </c>
      <c r="J191" s="65">
        <v>0</v>
      </c>
      <c r="K191" s="65">
        <v>0</v>
      </c>
      <c r="L191" s="65">
        <v>0</v>
      </c>
      <c r="M191" s="65">
        <v>0</v>
      </c>
      <c r="N191" s="65">
        <v>0</v>
      </c>
      <c r="O191" s="65">
        <v>0</v>
      </c>
      <c r="P191" s="65">
        <v>0</v>
      </c>
      <c r="Q191" s="66">
        <f t="shared" si="108"/>
        <v>9.9999999999999978E-2</v>
      </c>
      <c r="R191" s="65">
        <f t="shared" si="113"/>
        <v>0.9</v>
      </c>
      <c r="S191" s="57">
        <f t="shared" si="109"/>
        <v>1</v>
      </c>
      <c r="T191" s="57">
        <f t="shared" si="110"/>
        <v>0</v>
      </c>
      <c r="U191" s="57">
        <f t="shared" si="111"/>
        <v>0</v>
      </c>
      <c r="V191" s="57">
        <f t="shared" si="112"/>
        <v>0</v>
      </c>
      <c r="W191" s="156"/>
    </row>
    <row r="192" spans="1:23" ht="17" x14ac:dyDescent="0.2">
      <c r="A192" s="64" t="s">
        <v>122</v>
      </c>
      <c r="B192" s="65">
        <v>0</v>
      </c>
      <c r="C192" s="65">
        <v>0</v>
      </c>
      <c r="D192" s="65">
        <v>0.3</v>
      </c>
      <c r="E192" s="65">
        <v>0.35</v>
      </c>
      <c r="F192" s="65">
        <v>0</v>
      </c>
      <c r="G192" s="65">
        <v>0.35</v>
      </c>
      <c r="H192" s="65">
        <v>0</v>
      </c>
      <c r="I192" s="65">
        <v>0</v>
      </c>
      <c r="J192" s="65">
        <v>0</v>
      </c>
      <c r="K192" s="65">
        <v>0</v>
      </c>
      <c r="L192" s="65">
        <v>0</v>
      </c>
      <c r="M192" s="65">
        <v>0</v>
      </c>
      <c r="N192" s="65">
        <v>0</v>
      </c>
      <c r="O192" s="65">
        <v>0</v>
      </c>
      <c r="P192" s="65">
        <v>0</v>
      </c>
      <c r="Q192" s="66">
        <f t="shared" si="108"/>
        <v>0</v>
      </c>
      <c r="R192" s="65">
        <f t="shared" si="113"/>
        <v>0.99999999999999989</v>
      </c>
      <c r="S192" s="57">
        <f t="shared" si="109"/>
        <v>0.99999999999999989</v>
      </c>
      <c r="T192" s="57">
        <f t="shared" si="110"/>
        <v>0.99999999999999989</v>
      </c>
      <c r="U192" s="57">
        <f t="shared" si="111"/>
        <v>0</v>
      </c>
      <c r="V192" s="57">
        <f t="shared" si="112"/>
        <v>0</v>
      </c>
      <c r="W192" s="156"/>
    </row>
    <row r="193" spans="1:23" ht="17" x14ac:dyDescent="0.2">
      <c r="A193" s="64" t="s">
        <v>32</v>
      </c>
      <c r="B193" s="65">
        <v>0</v>
      </c>
      <c r="C193" s="65">
        <v>0.4</v>
      </c>
      <c r="D193" s="65">
        <v>0</v>
      </c>
      <c r="E193" s="65">
        <v>0.1</v>
      </c>
      <c r="F193" s="65">
        <v>0</v>
      </c>
      <c r="G193" s="65">
        <v>0.2</v>
      </c>
      <c r="H193" s="65">
        <v>0</v>
      </c>
      <c r="I193" s="65">
        <v>0.1</v>
      </c>
      <c r="J193" s="65">
        <v>0.1</v>
      </c>
      <c r="K193" s="65">
        <v>0</v>
      </c>
      <c r="L193" s="65">
        <v>0</v>
      </c>
      <c r="M193" s="65">
        <v>0</v>
      </c>
      <c r="N193" s="65">
        <v>0</v>
      </c>
      <c r="O193" s="65">
        <v>0</v>
      </c>
      <c r="P193" s="65">
        <v>0</v>
      </c>
      <c r="Q193" s="66">
        <f t="shared" si="108"/>
        <v>0.10000000000000009</v>
      </c>
      <c r="R193" s="65">
        <f t="shared" si="113"/>
        <v>0.89999999999999991</v>
      </c>
      <c r="S193" s="57">
        <f t="shared" si="109"/>
        <v>1</v>
      </c>
      <c r="T193" s="57">
        <f t="shared" si="110"/>
        <v>0.5</v>
      </c>
      <c r="U193" s="57">
        <f t="shared" si="111"/>
        <v>0</v>
      </c>
      <c r="V193" s="57">
        <f t="shared" si="112"/>
        <v>0</v>
      </c>
      <c r="W193" s="156"/>
    </row>
    <row r="194" spans="1:23" ht="34" x14ac:dyDescent="0.2">
      <c r="A194" s="64" t="s">
        <v>105</v>
      </c>
      <c r="B194" s="114">
        <v>0</v>
      </c>
      <c r="C194" s="114">
        <v>0.1</v>
      </c>
      <c r="D194" s="114">
        <v>0</v>
      </c>
      <c r="E194" s="114">
        <v>0</v>
      </c>
      <c r="F194" s="114">
        <v>0</v>
      </c>
      <c r="G194" s="114">
        <v>0</v>
      </c>
      <c r="H194" s="114">
        <v>0</v>
      </c>
      <c r="I194" s="114">
        <v>0</v>
      </c>
      <c r="J194" s="114">
        <v>0</v>
      </c>
      <c r="K194" s="114">
        <v>0</v>
      </c>
      <c r="L194" s="114">
        <v>0</v>
      </c>
      <c r="M194" s="114">
        <v>0</v>
      </c>
      <c r="N194" s="114">
        <v>0</v>
      </c>
      <c r="O194" s="114">
        <v>0</v>
      </c>
      <c r="P194" s="114">
        <f>PlasticsUse!$D$41*1</f>
        <v>0.80600000000000005</v>
      </c>
      <c r="Q194" s="66">
        <f t="shared" si="108"/>
        <v>9.3999999999999972E-2</v>
      </c>
      <c r="R194" s="72">
        <f>SUM(C194:J194,L194:P194)</f>
        <v>0.90600000000000003</v>
      </c>
      <c r="S194" s="57">
        <f t="shared" si="109"/>
        <v>1</v>
      </c>
      <c r="T194" s="57">
        <f t="shared" si="110"/>
        <v>0</v>
      </c>
      <c r="U194" s="57">
        <f t="shared" si="111"/>
        <v>0</v>
      </c>
      <c r="V194" s="57">
        <f t="shared" si="112"/>
        <v>0</v>
      </c>
      <c r="W194" s="156"/>
    </row>
    <row r="195" spans="1:23" x14ac:dyDescent="0.2">
      <c r="A195" s="40" t="s">
        <v>576</v>
      </c>
      <c r="B195" s="117">
        <f>B181</f>
        <v>0.05</v>
      </c>
      <c r="C195" s="117">
        <f t="shared" ref="C195:P195" si="117">C181</f>
        <v>0.45</v>
      </c>
      <c r="D195" s="117">
        <f t="shared" si="117"/>
        <v>0</v>
      </c>
      <c r="E195" s="117">
        <f t="shared" si="117"/>
        <v>0.3</v>
      </c>
      <c r="F195" s="117">
        <f t="shared" si="117"/>
        <v>0</v>
      </c>
      <c r="G195" s="117">
        <f t="shared" si="117"/>
        <v>0.05</v>
      </c>
      <c r="H195" s="117">
        <f t="shared" si="117"/>
        <v>0</v>
      </c>
      <c r="I195" s="117">
        <f t="shared" si="117"/>
        <v>0</v>
      </c>
      <c r="J195" s="117">
        <f t="shared" si="117"/>
        <v>0</v>
      </c>
      <c r="K195" s="117">
        <f t="shared" si="117"/>
        <v>0.05</v>
      </c>
      <c r="L195" s="117">
        <f t="shared" si="117"/>
        <v>0</v>
      </c>
      <c r="M195" s="117">
        <f t="shared" si="117"/>
        <v>0</v>
      </c>
      <c r="N195" s="117">
        <f t="shared" si="117"/>
        <v>0</v>
      </c>
      <c r="O195" s="117">
        <f t="shared" si="117"/>
        <v>0</v>
      </c>
      <c r="P195" s="117">
        <f t="shared" si="117"/>
        <v>0</v>
      </c>
      <c r="Q195" s="119">
        <f t="shared" ref="Q195:Q196" si="118">1-SUM(B195:P195)</f>
        <v>9.9999999999999867E-2</v>
      </c>
      <c r="R195" s="72">
        <f t="shared" ref="R195:R196" si="119">SUM(C195:J195,L195:P195)</f>
        <v>0.8</v>
      </c>
      <c r="S195" s="57">
        <f t="shared" si="109"/>
        <v>1</v>
      </c>
      <c r="T195" s="57">
        <f t="shared" ref="T195:T196" si="120">SUM(D195:G195,I195:J195,L195:M195)</f>
        <v>0.35</v>
      </c>
      <c r="U195" s="57">
        <f t="shared" ref="U195:U196" si="121">B195+K195</f>
        <v>0.1</v>
      </c>
      <c r="V195" s="57">
        <f t="shared" ref="V195:V196" si="122">SUM(N195:O195)</f>
        <v>0</v>
      </c>
      <c r="W195" s="156"/>
    </row>
    <row r="196" spans="1:23" x14ac:dyDescent="0.2">
      <c r="A196" s="40" t="s">
        <v>575</v>
      </c>
      <c r="B196" s="117">
        <f>B181</f>
        <v>0.05</v>
      </c>
      <c r="C196" s="117">
        <f t="shared" ref="C196:P196" si="123">C181</f>
        <v>0.45</v>
      </c>
      <c r="D196" s="117">
        <f t="shared" si="123"/>
        <v>0</v>
      </c>
      <c r="E196" s="117">
        <f t="shared" si="123"/>
        <v>0.3</v>
      </c>
      <c r="F196" s="117">
        <f t="shared" si="123"/>
        <v>0</v>
      </c>
      <c r="G196" s="117">
        <f t="shared" si="123"/>
        <v>0.05</v>
      </c>
      <c r="H196" s="117">
        <f t="shared" si="123"/>
        <v>0</v>
      </c>
      <c r="I196" s="117">
        <f t="shared" si="123"/>
        <v>0</v>
      </c>
      <c r="J196" s="117">
        <f t="shared" si="123"/>
        <v>0</v>
      </c>
      <c r="K196" s="117">
        <f t="shared" si="123"/>
        <v>0.05</v>
      </c>
      <c r="L196" s="117">
        <f t="shared" si="123"/>
        <v>0</v>
      </c>
      <c r="M196" s="117">
        <f t="shared" si="123"/>
        <v>0</v>
      </c>
      <c r="N196" s="117">
        <f t="shared" si="123"/>
        <v>0</v>
      </c>
      <c r="O196" s="117">
        <f t="shared" si="123"/>
        <v>0</v>
      </c>
      <c r="P196" s="117">
        <f t="shared" si="123"/>
        <v>0</v>
      </c>
      <c r="Q196" s="119">
        <f t="shared" si="118"/>
        <v>9.9999999999999867E-2</v>
      </c>
      <c r="R196" s="72">
        <f t="shared" si="119"/>
        <v>0.8</v>
      </c>
      <c r="S196" s="57">
        <f t="shared" si="109"/>
        <v>1</v>
      </c>
      <c r="T196" s="57">
        <f t="shared" si="120"/>
        <v>0.35</v>
      </c>
      <c r="U196" s="57">
        <f t="shared" si="121"/>
        <v>0.1</v>
      </c>
      <c r="V196" s="57">
        <f t="shared" si="122"/>
        <v>0</v>
      </c>
      <c r="W196" s="156"/>
    </row>
    <row r="197" spans="1:23" x14ac:dyDescent="0.2">
      <c r="A197" s="2"/>
    </row>
    <row r="198" spans="1:23" x14ac:dyDescent="0.2">
      <c r="A198" s="68" t="s">
        <v>350</v>
      </c>
      <c r="T198" s="193" t="s">
        <v>363</v>
      </c>
      <c r="U198" s="194"/>
      <c r="V198" s="195"/>
    </row>
    <row r="199" spans="1:23" ht="68" x14ac:dyDescent="0.2">
      <c r="A199" s="62" t="s">
        <v>212</v>
      </c>
      <c r="B199" s="63" t="s">
        <v>213</v>
      </c>
      <c r="C199" s="63" t="s">
        <v>215</v>
      </c>
      <c r="D199" s="63" t="s">
        <v>216</v>
      </c>
      <c r="E199" s="63" t="s">
        <v>217</v>
      </c>
      <c r="F199" s="63" t="s">
        <v>218</v>
      </c>
      <c r="G199" s="63" t="s">
        <v>219</v>
      </c>
      <c r="H199" s="63" t="s">
        <v>302</v>
      </c>
      <c r="I199" s="63" t="s">
        <v>220</v>
      </c>
      <c r="J199" s="63" t="s">
        <v>221</v>
      </c>
      <c r="K199" s="63" t="s">
        <v>222</v>
      </c>
      <c r="L199" s="63" t="s">
        <v>223</v>
      </c>
      <c r="M199" s="63" t="s">
        <v>224</v>
      </c>
      <c r="N199" s="63" t="s">
        <v>225</v>
      </c>
      <c r="O199" s="63" t="s">
        <v>226</v>
      </c>
      <c r="P199" s="63" t="s">
        <v>279</v>
      </c>
      <c r="Q199" s="62" t="s">
        <v>210</v>
      </c>
      <c r="R199" s="63" t="s">
        <v>278</v>
      </c>
      <c r="S199" s="73" t="s">
        <v>110</v>
      </c>
      <c r="T199" s="89" t="s">
        <v>283</v>
      </c>
      <c r="U199" s="89" t="s">
        <v>293</v>
      </c>
      <c r="V199" s="89" t="s">
        <v>282</v>
      </c>
    </row>
    <row r="200" spans="1:23" ht="17" x14ac:dyDescent="0.2">
      <c r="A200" s="64" t="s">
        <v>82</v>
      </c>
      <c r="B200" s="65">
        <v>0</v>
      </c>
      <c r="C200" s="65">
        <v>0</v>
      </c>
      <c r="D200" s="65">
        <v>0</v>
      </c>
      <c r="E200" s="65">
        <v>0.5</v>
      </c>
      <c r="F200" s="65">
        <v>0.08</v>
      </c>
      <c r="G200" s="65">
        <v>0.15</v>
      </c>
      <c r="H200" s="65">
        <v>0</v>
      </c>
      <c r="I200" s="65">
        <v>7.0000000000000007E-2</v>
      </c>
      <c r="J200" s="65">
        <v>0</v>
      </c>
      <c r="K200" s="65">
        <v>0</v>
      </c>
      <c r="L200" s="65">
        <v>0.15</v>
      </c>
      <c r="M200" s="65">
        <v>0.05</v>
      </c>
      <c r="N200" s="65">
        <v>0</v>
      </c>
      <c r="O200" s="65">
        <v>0</v>
      </c>
      <c r="P200" s="65">
        <v>0</v>
      </c>
      <c r="Q200" s="66">
        <f t="shared" ref="Q200:Q214" si="124">1-SUM(B200:P200)</f>
        <v>0</v>
      </c>
      <c r="R200" s="65">
        <f>SUM(C200:J200,L200:O200)</f>
        <v>1</v>
      </c>
      <c r="S200" s="57">
        <f>SUM(B200:Q200)</f>
        <v>1</v>
      </c>
      <c r="T200" s="57">
        <f>SUM(D200:G200,I200:J200,L200:M200)</f>
        <v>1</v>
      </c>
      <c r="U200" s="57">
        <f>B200+K200</f>
        <v>0</v>
      </c>
      <c r="V200" s="57">
        <f>SUM(N200:O200)</f>
        <v>0</v>
      </c>
    </row>
    <row r="201" spans="1:23" ht="17" x14ac:dyDescent="0.2">
      <c r="A201" s="64" t="s">
        <v>127</v>
      </c>
      <c r="B201" s="65">
        <v>0</v>
      </c>
      <c r="C201" s="65">
        <v>0</v>
      </c>
      <c r="D201" s="65">
        <v>0</v>
      </c>
      <c r="E201" s="65">
        <v>0.8</v>
      </c>
      <c r="F201" s="65">
        <v>0</v>
      </c>
      <c r="G201" s="65">
        <v>0.1</v>
      </c>
      <c r="H201" s="65">
        <v>0</v>
      </c>
      <c r="I201" s="65">
        <v>0</v>
      </c>
      <c r="J201" s="65">
        <v>0</v>
      </c>
      <c r="K201" s="65">
        <v>0</v>
      </c>
      <c r="L201" s="65">
        <v>0.1</v>
      </c>
      <c r="M201" s="65">
        <v>0</v>
      </c>
      <c r="N201" s="65">
        <v>0</v>
      </c>
      <c r="O201" s="65">
        <v>0</v>
      </c>
      <c r="P201" s="65">
        <v>0</v>
      </c>
      <c r="Q201" s="66">
        <f t="shared" si="124"/>
        <v>0</v>
      </c>
      <c r="R201" s="65">
        <f>SUM(C201:O201)</f>
        <v>1</v>
      </c>
      <c r="S201" s="57">
        <f t="shared" ref="S201:S216" si="125">SUM(B201:Q201)</f>
        <v>1</v>
      </c>
      <c r="T201" s="57">
        <f t="shared" ref="T201:T214" si="126">SUM(D201:G201,I201:J201,L201:M201)</f>
        <v>1</v>
      </c>
      <c r="U201" s="57">
        <f t="shared" ref="U201:U214" si="127">B201+K201</f>
        <v>0</v>
      </c>
      <c r="V201" s="57">
        <f t="shared" ref="V201:V214" si="128">SUM(N201:O201)</f>
        <v>0</v>
      </c>
    </row>
    <row r="202" spans="1:23" ht="17" x14ac:dyDescent="0.2">
      <c r="A202" s="64" t="s">
        <v>8</v>
      </c>
      <c r="B202" s="65">
        <v>0</v>
      </c>
      <c r="C202" s="65">
        <v>1</v>
      </c>
      <c r="D202" s="65">
        <v>0</v>
      </c>
      <c r="E202" s="65">
        <v>0</v>
      </c>
      <c r="F202" s="65">
        <v>0</v>
      </c>
      <c r="G202" s="65">
        <v>0</v>
      </c>
      <c r="H202" s="65">
        <v>0</v>
      </c>
      <c r="I202" s="65">
        <v>0</v>
      </c>
      <c r="J202" s="65">
        <v>0</v>
      </c>
      <c r="K202" s="65">
        <v>0</v>
      </c>
      <c r="L202" s="65">
        <v>0</v>
      </c>
      <c r="M202" s="65">
        <v>0</v>
      </c>
      <c r="N202" s="65">
        <v>0</v>
      </c>
      <c r="O202" s="65">
        <v>0</v>
      </c>
      <c r="P202" s="65">
        <v>0</v>
      </c>
      <c r="Q202" s="66">
        <f t="shared" si="124"/>
        <v>0</v>
      </c>
      <c r="R202" s="65">
        <f>SUM(C202:O202)</f>
        <v>1</v>
      </c>
      <c r="S202" s="57">
        <f t="shared" si="125"/>
        <v>1</v>
      </c>
      <c r="T202" s="57">
        <f t="shared" si="126"/>
        <v>0</v>
      </c>
      <c r="U202" s="57">
        <f t="shared" si="127"/>
        <v>0</v>
      </c>
      <c r="V202" s="57">
        <f t="shared" si="128"/>
        <v>0</v>
      </c>
    </row>
    <row r="203" spans="1:23" ht="17" x14ac:dyDescent="0.2">
      <c r="A203" s="64" t="s">
        <v>19</v>
      </c>
      <c r="B203" s="65">
        <v>0</v>
      </c>
      <c r="C203" s="65">
        <v>1</v>
      </c>
      <c r="D203" s="65">
        <v>0</v>
      </c>
      <c r="E203" s="65">
        <v>0</v>
      </c>
      <c r="F203" s="65">
        <v>0</v>
      </c>
      <c r="G203" s="65">
        <v>0</v>
      </c>
      <c r="H203" s="65">
        <v>0</v>
      </c>
      <c r="I203" s="65">
        <v>0</v>
      </c>
      <c r="J203" s="65">
        <v>0</v>
      </c>
      <c r="K203" s="65">
        <v>0</v>
      </c>
      <c r="L203" s="65">
        <v>0</v>
      </c>
      <c r="M203" s="65">
        <v>0</v>
      </c>
      <c r="N203" s="65">
        <v>0</v>
      </c>
      <c r="O203" s="65">
        <v>0</v>
      </c>
      <c r="P203" s="65">
        <v>0</v>
      </c>
      <c r="Q203" s="66">
        <f t="shared" si="124"/>
        <v>0</v>
      </c>
      <c r="R203" s="65">
        <f t="shared" ref="R203:R213" si="129">SUM(C203:J203,L203:O203)</f>
        <v>1</v>
      </c>
      <c r="S203" s="57">
        <f t="shared" si="125"/>
        <v>1</v>
      </c>
      <c r="T203" s="57">
        <f t="shared" si="126"/>
        <v>0</v>
      </c>
      <c r="U203" s="57">
        <f t="shared" si="127"/>
        <v>0</v>
      </c>
      <c r="V203" s="57">
        <f t="shared" si="128"/>
        <v>0</v>
      </c>
    </row>
    <row r="204" spans="1:23" ht="17" x14ac:dyDescent="0.2">
      <c r="A204" s="64" t="s">
        <v>1</v>
      </c>
      <c r="B204" s="65">
        <v>0</v>
      </c>
      <c r="C204" s="65">
        <v>1</v>
      </c>
      <c r="D204" s="65">
        <v>0</v>
      </c>
      <c r="E204" s="65">
        <v>0</v>
      </c>
      <c r="F204" s="65">
        <v>0</v>
      </c>
      <c r="G204" s="65">
        <v>0</v>
      </c>
      <c r="H204" s="65">
        <v>0</v>
      </c>
      <c r="I204" s="65">
        <v>0</v>
      </c>
      <c r="J204" s="65">
        <v>0</v>
      </c>
      <c r="K204" s="65">
        <v>0</v>
      </c>
      <c r="L204" s="65">
        <v>0</v>
      </c>
      <c r="M204" s="65">
        <v>0</v>
      </c>
      <c r="N204" s="65">
        <v>0</v>
      </c>
      <c r="O204" s="65">
        <v>0</v>
      </c>
      <c r="P204" s="65">
        <v>0</v>
      </c>
      <c r="Q204" s="66">
        <f t="shared" si="124"/>
        <v>0</v>
      </c>
      <c r="R204" s="65">
        <f t="shared" si="129"/>
        <v>1</v>
      </c>
      <c r="S204" s="57">
        <f t="shared" si="125"/>
        <v>1</v>
      </c>
      <c r="T204" s="57">
        <f t="shared" si="126"/>
        <v>0</v>
      </c>
      <c r="U204" s="57">
        <f t="shared" si="127"/>
        <v>0</v>
      </c>
      <c r="V204" s="57">
        <f t="shared" si="128"/>
        <v>0</v>
      </c>
    </row>
    <row r="205" spans="1:23" ht="17" x14ac:dyDescent="0.2">
      <c r="A205" s="64" t="s">
        <v>10</v>
      </c>
      <c r="B205" s="65">
        <v>0</v>
      </c>
      <c r="C205" s="65">
        <v>0.2</v>
      </c>
      <c r="D205" s="65">
        <v>0</v>
      </c>
      <c r="E205" s="65">
        <v>0</v>
      </c>
      <c r="F205" s="65">
        <v>0</v>
      </c>
      <c r="G205" s="65">
        <v>0</v>
      </c>
      <c r="H205" s="65">
        <v>0</v>
      </c>
      <c r="I205" s="65">
        <v>0</v>
      </c>
      <c r="J205" s="65">
        <v>0</v>
      </c>
      <c r="K205" s="65">
        <v>0</v>
      </c>
      <c r="L205" s="65">
        <v>0</v>
      </c>
      <c r="M205" s="65">
        <v>0</v>
      </c>
      <c r="N205" s="65">
        <v>0.8</v>
      </c>
      <c r="O205" s="65">
        <v>0</v>
      </c>
      <c r="P205" s="65">
        <v>0</v>
      </c>
      <c r="Q205" s="66">
        <f t="shared" si="124"/>
        <v>0</v>
      </c>
      <c r="R205" s="65">
        <f t="shared" si="129"/>
        <v>1</v>
      </c>
      <c r="S205" s="57">
        <f t="shared" si="125"/>
        <v>1</v>
      </c>
      <c r="T205" s="57">
        <f t="shared" si="126"/>
        <v>0</v>
      </c>
      <c r="U205" s="57">
        <f t="shared" si="127"/>
        <v>0</v>
      </c>
      <c r="V205" s="57">
        <f t="shared" si="128"/>
        <v>0.8</v>
      </c>
    </row>
    <row r="206" spans="1:23" ht="17" x14ac:dyDescent="0.2">
      <c r="A206" s="64" t="s">
        <v>11</v>
      </c>
      <c r="B206" s="65">
        <v>0</v>
      </c>
      <c r="C206" s="65">
        <v>0.2</v>
      </c>
      <c r="D206" s="65">
        <v>0</v>
      </c>
      <c r="E206" s="65">
        <v>0</v>
      </c>
      <c r="F206" s="65">
        <v>0</v>
      </c>
      <c r="G206" s="65">
        <v>0</v>
      </c>
      <c r="H206" s="65">
        <v>0</v>
      </c>
      <c r="I206" s="65">
        <v>0</v>
      </c>
      <c r="J206" s="65">
        <v>0</v>
      </c>
      <c r="K206" s="65">
        <v>0</v>
      </c>
      <c r="L206" s="65">
        <v>0</v>
      </c>
      <c r="M206" s="65">
        <v>0</v>
      </c>
      <c r="N206" s="65">
        <v>0</v>
      </c>
      <c r="O206" s="65">
        <v>0.8</v>
      </c>
      <c r="P206" s="65">
        <v>0</v>
      </c>
      <c r="Q206" s="66">
        <f t="shared" si="124"/>
        <v>0</v>
      </c>
      <c r="R206" s="65">
        <f t="shared" si="129"/>
        <v>1</v>
      </c>
      <c r="S206" s="57">
        <f t="shared" si="125"/>
        <v>1</v>
      </c>
      <c r="T206" s="57">
        <f t="shared" si="126"/>
        <v>0</v>
      </c>
      <c r="U206" s="57">
        <f t="shared" si="127"/>
        <v>0</v>
      </c>
      <c r="V206" s="57">
        <f t="shared" si="128"/>
        <v>0.8</v>
      </c>
    </row>
    <row r="207" spans="1:23" ht="17" x14ac:dyDescent="0.2">
      <c r="A207" s="64" t="s">
        <v>25</v>
      </c>
      <c r="B207" s="65">
        <f>B206</f>
        <v>0</v>
      </c>
      <c r="C207" s="65">
        <v>0.2</v>
      </c>
      <c r="D207" s="65">
        <f t="shared" ref="D207:P207" si="130">D206</f>
        <v>0</v>
      </c>
      <c r="E207" s="65">
        <f t="shared" si="130"/>
        <v>0</v>
      </c>
      <c r="F207" s="65">
        <f t="shared" si="130"/>
        <v>0</v>
      </c>
      <c r="G207" s="65">
        <f t="shared" si="130"/>
        <v>0</v>
      </c>
      <c r="H207" s="65">
        <f t="shared" si="130"/>
        <v>0</v>
      </c>
      <c r="I207" s="65">
        <f t="shared" si="130"/>
        <v>0</v>
      </c>
      <c r="J207" s="65">
        <f t="shared" si="130"/>
        <v>0</v>
      </c>
      <c r="K207" s="65">
        <f t="shared" si="130"/>
        <v>0</v>
      </c>
      <c r="L207" s="65">
        <f t="shared" si="130"/>
        <v>0</v>
      </c>
      <c r="M207" s="65">
        <f t="shared" si="130"/>
        <v>0</v>
      </c>
      <c r="N207" s="65">
        <f t="shared" si="130"/>
        <v>0</v>
      </c>
      <c r="O207" s="65">
        <v>0.8</v>
      </c>
      <c r="P207" s="65">
        <f t="shared" si="130"/>
        <v>0</v>
      </c>
      <c r="Q207" s="66">
        <f t="shared" si="124"/>
        <v>0</v>
      </c>
      <c r="R207" s="65">
        <f t="shared" si="129"/>
        <v>1</v>
      </c>
      <c r="S207" s="57">
        <f t="shared" si="125"/>
        <v>1</v>
      </c>
      <c r="T207" s="57">
        <f t="shared" si="126"/>
        <v>0</v>
      </c>
      <c r="U207" s="57">
        <f t="shared" si="127"/>
        <v>0</v>
      </c>
      <c r="V207" s="57">
        <f t="shared" si="128"/>
        <v>0.8</v>
      </c>
    </row>
    <row r="208" spans="1:23" ht="17" x14ac:dyDescent="0.2">
      <c r="A208" s="64" t="s">
        <v>7</v>
      </c>
      <c r="B208" s="65">
        <v>0</v>
      </c>
      <c r="C208" s="65">
        <v>1</v>
      </c>
      <c r="D208" s="65">
        <v>0</v>
      </c>
      <c r="E208" s="65">
        <v>0</v>
      </c>
      <c r="F208" s="65">
        <v>0</v>
      </c>
      <c r="G208" s="65">
        <v>0</v>
      </c>
      <c r="H208" s="65">
        <v>0</v>
      </c>
      <c r="I208" s="65">
        <v>0</v>
      </c>
      <c r="J208" s="65">
        <v>0</v>
      </c>
      <c r="K208" s="65">
        <v>0</v>
      </c>
      <c r="L208" s="65">
        <v>0</v>
      </c>
      <c r="M208" s="65">
        <v>0</v>
      </c>
      <c r="N208" s="65">
        <v>0</v>
      </c>
      <c r="O208" s="65">
        <v>0</v>
      </c>
      <c r="P208" s="65">
        <v>0</v>
      </c>
      <c r="Q208" s="66">
        <f t="shared" si="124"/>
        <v>0</v>
      </c>
      <c r="R208" s="65">
        <f t="shared" si="129"/>
        <v>1</v>
      </c>
      <c r="S208" s="57">
        <f t="shared" si="125"/>
        <v>1</v>
      </c>
      <c r="T208" s="57">
        <f t="shared" si="126"/>
        <v>0</v>
      </c>
      <c r="U208" s="57">
        <f t="shared" si="127"/>
        <v>0</v>
      </c>
      <c r="V208" s="57">
        <f t="shared" si="128"/>
        <v>0</v>
      </c>
    </row>
    <row r="209" spans="1:22" ht="17" x14ac:dyDescent="0.2">
      <c r="A209" s="64" t="s">
        <v>2</v>
      </c>
      <c r="B209" s="65">
        <f>B146</f>
        <v>0</v>
      </c>
      <c r="C209" s="65">
        <f t="shared" ref="C209:P209" si="131">C146</f>
        <v>0.25</v>
      </c>
      <c r="D209" s="65">
        <f t="shared" si="131"/>
        <v>7.0000000000000007E-2</v>
      </c>
      <c r="E209" s="65">
        <f t="shared" si="131"/>
        <v>0.16</v>
      </c>
      <c r="F209" s="65">
        <f t="shared" si="131"/>
        <v>7.0000000000000007E-2</v>
      </c>
      <c r="G209" s="65">
        <f t="shared" si="131"/>
        <v>0.12</v>
      </c>
      <c r="H209" s="65">
        <f t="shared" si="131"/>
        <v>0.1</v>
      </c>
      <c r="I209" s="65">
        <f t="shared" si="131"/>
        <v>7.0000000000000007E-2</v>
      </c>
      <c r="J209" s="65">
        <f t="shared" si="131"/>
        <v>0.16</v>
      </c>
      <c r="K209" s="65">
        <f t="shared" si="131"/>
        <v>0</v>
      </c>
      <c r="L209" s="65">
        <f t="shared" si="131"/>
        <v>0</v>
      </c>
      <c r="M209" s="65">
        <f t="shared" si="131"/>
        <v>0</v>
      </c>
      <c r="N209" s="65">
        <f t="shared" si="131"/>
        <v>0</v>
      </c>
      <c r="O209" s="65">
        <f t="shared" si="131"/>
        <v>0</v>
      </c>
      <c r="P209" s="65">
        <f t="shared" si="131"/>
        <v>0</v>
      </c>
      <c r="Q209" s="66">
        <f t="shared" si="124"/>
        <v>0</v>
      </c>
      <c r="R209" s="65">
        <f t="shared" si="129"/>
        <v>1</v>
      </c>
      <c r="S209" s="57">
        <f t="shared" si="125"/>
        <v>1</v>
      </c>
      <c r="T209" s="57">
        <f t="shared" si="126"/>
        <v>0.65</v>
      </c>
      <c r="U209" s="57">
        <f t="shared" si="127"/>
        <v>0</v>
      </c>
      <c r="V209" s="57">
        <f t="shared" si="128"/>
        <v>0</v>
      </c>
    </row>
    <row r="210" spans="1:22" ht="17" x14ac:dyDescent="0.2">
      <c r="A210" s="64" t="s">
        <v>30</v>
      </c>
      <c r="B210" s="65">
        <f>B190</f>
        <v>0</v>
      </c>
      <c r="C210" s="65">
        <f t="shared" ref="C210:P210" si="132">C190</f>
        <v>0.5</v>
      </c>
      <c r="D210" s="65">
        <f t="shared" si="132"/>
        <v>0</v>
      </c>
      <c r="E210" s="65">
        <f t="shared" si="132"/>
        <v>0.1</v>
      </c>
      <c r="F210" s="65">
        <f t="shared" si="132"/>
        <v>0</v>
      </c>
      <c r="G210" s="65">
        <f t="shared" si="132"/>
        <v>0</v>
      </c>
      <c r="H210" s="65">
        <f t="shared" si="132"/>
        <v>0</v>
      </c>
      <c r="I210" s="65">
        <f t="shared" si="132"/>
        <v>0</v>
      </c>
      <c r="J210" s="65">
        <f t="shared" si="132"/>
        <v>0.35</v>
      </c>
      <c r="K210" s="65">
        <f t="shared" si="132"/>
        <v>0</v>
      </c>
      <c r="L210" s="65">
        <f t="shared" si="132"/>
        <v>0.05</v>
      </c>
      <c r="M210" s="65">
        <f t="shared" si="132"/>
        <v>0</v>
      </c>
      <c r="N210" s="65">
        <f t="shared" si="132"/>
        <v>0</v>
      </c>
      <c r="O210" s="65">
        <f t="shared" si="132"/>
        <v>0</v>
      </c>
      <c r="P210" s="65">
        <f t="shared" si="132"/>
        <v>0</v>
      </c>
      <c r="Q210" s="66">
        <f t="shared" si="124"/>
        <v>0</v>
      </c>
      <c r="R210" s="65">
        <f t="shared" si="129"/>
        <v>1</v>
      </c>
      <c r="S210" s="57">
        <f t="shared" si="125"/>
        <v>1</v>
      </c>
      <c r="T210" s="57">
        <f t="shared" si="126"/>
        <v>0.49999999999999994</v>
      </c>
      <c r="U210" s="57">
        <f t="shared" si="127"/>
        <v>0</v>
      </c>
      <c r="V210" s="57">
        <f t="shared" si="128"/>
        <v>0</v>
      </c>
    </row>
    <row r="211" spans="1:22" ht="17" x14ac:dyDescent="0.2">
      <c r="A211" s="64" t="s">
        <v>31</v>
      </c>
      <c r="B211" s="65">
        <v>0</v>
      </c>
      <c r="C211" s="65">
        <v>1</v>
      </c>
      <c r="D211" s="65">
        <v>0</v>
      </c>
      <c r="E211" s="65">
        <v>0</v>
      </c>
      <c r="F211" s="65">
        <v>0</v>
      </c>
      <c r="G211" s="65">
        <v>0</v>
      </c>
      <c r="H211" s="65">
        <v>0</v>
      </c>
      <c r="I211" s="65">
        <v>0</v>
      </c>
      <c r="J211" s="65">
        <v>0</v>
      </c>
      <c r="K211" s="65">
        <v>0</v>
      </c>
      <c r="L211" s="65">
        <v>0</v>
      </c>
      <c r="M211" s="65">
        <v>0</v>
      </c>
      <c r="N211" s="65">
        <v>0</v>
      </c>
      <c r="O211" s="65">
        <v>0</v>
      </c>
      <c r="P211" s="65">
        <v>0</v>
      </c>
      <c r="Q211" s="66">
        <f t="shared" si="124"/>
        <v>0</v>
      </c>
      <c r="R211" s="65">
        <f t="shared" si="129"/>
        <v>1</v>
      </c>
      <c r="S211" s="57">
        <f t="shared" si="125"/>
        <v>1</v>
      </c>
      <c r="T211" s="57">
        <f t="shared" si="126"/>
        <v>0</v>
      </c>
      <c r="U211" s="57">
        <f t="shared" si="127"/>
        <v>0</v>
      </c>
      <c r="V211" s="57">
        <f t="shared" si="128"/>
        <v>0</v>
      </c>
    </row>
    <row r="212" spans="1:22" ht="17" x14ac:dyDescent="0.2">
      <c r="A212" s="64" t="s">
        <v>122</v>
      </c>
      <c r="B212" s="65">
        <v>0</v>
      </c>
      <c r="C212" s="65">
        <v>0</v>
      </c>
      <c r="D212" s="65">
        <v>0.25</v>
      </c>
      <c r="E212" s="65">
        <v>0.4</v>
      </c>
      <c r="F212" s="65">
        <v>0</v>
      </c>
      <c r="G212" s="65">
        <v>0.35</v>
      </c>
      <c r="H212" s="65">
        <v>0</v>
      </c>
      <c r="I212" s="65">
        <v>0</v>
      </c>
      <c r="J212" s="65">
        <v>0</v>
      </c>
      <c r="K212" s="65">
        <v>0</v>
      </c>
      <c r="L212" s="65">
        <v>0</v>
      </c>
      <c r="M212" s="65">
        <v>0</v>
      </c>
      <c r="N212" s="65">
        <v>0</v>
      </c>
      <c r="O212" s="65">
        <v>0</v>
      </c>
      <c r="P212" s="65">
        <v>0</v>
      </c>
      <c r="Q212" s="66">
        <f t="shared" si="124"/>
        <v>0</v>
      </c>
      <c r="R212" s="65">
        <f t="shared" si="129"/>
        <v>1</v>
      </c>
      <c r="S212" s="57">
        <f t="shared" si="125"/>
        <v>1</v>
      </c>
      <c r="T212" s="57">
        <f t="shared" si="126"/>
        <v>1</v>
      </c>
      <c r="U212" s="57">
        <f t="shared" si="127"/>
        <v>0</v>
      </c>
      <c r="V212" s="57">
        <f t="shared" si="128"/>
        <v>0</v>
      </c>
    </row>
    <row r="213" spans="1:22" ht="17" x14ac:dyDescent="0.2">
      <c r="A213" s="64" t="s">
        <v>32</v>
      </c>
      <c r="B213" s="65">
        <v>0</v>
      </c>
      <c r="C213" s="65">
        <v>0.4</v>
      </c>
      <c r="D213" s="65">
        <v>0</v>
      </c>
      <c r="E213" s="65">
        <v>0.14000000000000001</v>
      </c>
      <c r="F213" s="65">
        <v>0</v>
      </c>
      <c r="G213" s="65">
        <v>0.2</v>
      </c>
      <c r="H213" s="65">
        <v>0</v>
      </c>
      <c r="I213" s="65">
        <v>0.13</v>
      </c>
      <c r="J213" s="65">
        <v>0.13</v>
      </c>
      <c r="K213" s="65">
        <v>0</v>
      </c>
      <c r="L213" s="65">
        <v>0</v>
      </c>
      <c r="M213" s="65">
        <v>0</v>
      </c>
      <c r="N213" s="65">
        <v>0</v>
      </c>
      <c r="O213" s="65">
        <v>0</v>
      </c>
      <c r="P213" s="65">
        <v>0</v>
      </c>
      <c r="Q213" s="66">
        <f t="shared" si="124"/>
        <v>0</v>
      </c>
      <c r="R213" s="65">
        <f t="shared" si="129"/>
        <v>1</v>
      </c>
      <c r="S213" s="57">
        <f t="shared" si="125"/>
        <v>1</v>
      </c>
      <c r="T213" s="57">
        <f t="shared" si="126"/>
        <v>0.60000000000000009</v>
      </c>
      <c r="U213" s="57">
        <f t="shared" si="127"/>
        <v>0</v>
      </c>
      <c r="V213" s="57">
        <f t="shared" si="128"/>
        <v>0</v>
      </c>
    </row>
    <row r="214" spans="1:22" ht="34" x14ac:dyDescent="0.2">
      <c r="A214" s="64" t="s">
        <v>105</v>
      </c>
      <c r="B214" s="65">
        <v>0</v>
      </c>
      <c r="C214" s="65">
        <v>0.19</v>
      </c>
      <c r="D214" s="65">
        <v>0</v>
      </c>
      <c r="E214" s="65">
        <v>0</v>
      </c>
      <c r="F214" s="65">
        <v>0</v>
      </c>
      <c r="G214" s="65">
        <v>0</v>
      </c>
      <c r="H214" s="65">
        <v>0</v>
      </c>
      <c r="I214" s="65">
        <v>0</v>
      </c>
      <c r="J214" s="65">
        <v>0</v>
      </c>
      <c r="K214" s="65">
        <v>0</v>
      </c>
      <c r="L214" s="65">
        <v>0</v>
      </c>
      <c r="M214" s="65">
        <v>0</v>
      </c>
      <c r="N214" s="65">
        <v>0</v>
      </c>
      <c r="O214" s="65">
        <v>0</v>
      </c>
      <c r="P214" s="65">
        <v>0.81</v>
      </c>
      <c r="Q214" s="66">
        <f t="shared" si="124"/>
        <v>0</v>
      </c>
      <c r="R214" s="72">
        <f>SUM(C214:J214,L214:P214)</f>
        <v>1</v>
      </c>
      <c r="S214" s="57">
        <f t="shared" si="125"/>
        <v>1</v>
      </c>
      <c r="T214" s="57">
        <f t="shared" si="126"/>
        <v>0</v>
      </c>
      <c r="U214" s="57">
        <f t="shared" si="127"/>
        <v>0</v>
      </c>
      <c r="V214" s="57">
        <f t="shared" si="128"/>
        <v>0</v>
      </c>
    </row>
    <row r="215" spans="1:22" x14ac:dyDescent="0.2">
      <c r="A215" s="40" t="s">
        <v>576</v>
      </c>
      <c r="B215" s="65">
        <f>B201</f>
        <v>0</v>
      </c>
      <c r="C215" s="65">
        <f t="shared" ref="C215:P215" si="133">C201</f>
        <v>0</v>
      </c>
      <c r="D215" s="65">
        <f t="shared" si="133"/>
        <v>0</v>
      </c>
      <c r="E215" s="65">
        <f t="shared" si="133"/>
        <v>0.8</v>
      </c>
      <c r="F215" s="65">
        <f t="shared" si="133"/>
        <v>0</v>
      </c>
      <c r="G215" s="65">
        <f t="shared" si="133"/>
        <v>0.1</v>
      </c>
      <c r="H215" s="65">
        <f t="shared" si="133"/>
        <v>0</v>
      </c>
      <c r="I215" s="65">
        <f t="shared" si="133"/>
        <v>0</v>
      </c>
      <c r="J215" s="65">
        <f t="shared" si="133"/>
        <v>0</v>
      </c>
      <c r="K215" s="65">
        <f t="shared" si="133"/>
        <v>0</v>
      </c>
      <c r="L215" s="65">
        <f t="shared" si="133"/>
        <v>0.1</v>
      </c>
      <c r="M215" s="65">
        <f t="shared" si="133"/>
        <v>0</v>
      </c>
      <c r="N215" s="65">
        <f t="shared" si="133"/>
        <v>0</v>
      </c>
      <c r="O215" s="65">
        <f t="shared" si="133"/>
        <v>0</v>
      </c>
      <c r="P215" s="65">
        <f t="shared" si="133"/>
        <v>0</v>
      </c>
      <c r="Q215" s="66">
        <f t="shared" ref="Q215:Q216" si="134">1-SUM(B215:P215)</f>
        <v>0</v>
      </c>
      <c r="R215" s="72">
        <f t="shared" ref="R215:R216" si="135">SUM(C215:J215,L215:P215)</f>
        <v>1</v>
      </c>
      <c r="S215" s="57">
        <f t="shared" si="125"/>
        <v>1</v>
      </c>
      <c r="T215" s="57">
        <f t="shared" ref="T215:T216" si="136">SUM(D215:G215,I215:J215,L215:M215)</f>
        <v>1</v>
      </c>
      <c r="U215" s="57">
        <f t="shared" ref="U215:U216" si="137">B215+K215</f>
        <v>0</v>
      </c>
      <c r="V215" s="57">
        <f t="shared" ref="V215:V216" si="138">SUM(N215:O215)</f>
        <v>0</v>
      </c>
    </row>
    <row r="216" spans="1:22" x14ac:dyDescent="0.2">
      <c r="A216" s="40" t="s">
        <v>575</v>
      </c>
      <c r="B216" s="65">
        <f>B201</f>
        <v>0</v>
      </c>
      <c r="C216" s="65">
        <f t="shared" ref="C216:P216" si="139">C201</f>
        <v>0</v>
      </c>
      <c r="D216" s="65">
        <f t="shared" si="139"/>
        <v>0</v>
      </c>
      <c r="E216" s="65">
        <f t="shared" si="139"/>
        <v>0.8</v>
      </c>
      <c r="F216" s="65">
        <f t="shared" si="139"/>
        <v>0</v>
      </c>
      <c r="G216" s="65">
        <f t="shared" si="139"/>
        <v>0.1</v>
      </c>
      <c r="H216" s="65">
        <f t="shared" si="139"/>
        <v>0</v>
      </c>
      <c r="I216" s="65">
        <f t="shared" si="139"/>
        <v>0</v>
      </c>
      <c r="J216" s="65">
        <f t="shared" si="139"/>
        <v>0</v>
      </c>
      <c r="K216" s="65">
        <f t="shared" si="139"/>
        <v>0</v>
      </c>
      <c r="L216" s="65">
        <f t="shared" si="139"/>
        <v>0.1</v>
      </c>
      <c r="M216" s="65">
        <f t="shared" si="139"/>
        <v>0</v>
      </c>
      <c r="N216" s="65">
        <f t="shared" si="139"/>
        <v>0</v>
      </c>
      <c r="O216" s="65">
        <f t="shared" si="139"/>
        <v>0</v>
      </c>
      <c r="P216" s="65">
        <f t="shared" si="139"/>
        <v>0</v>
      </c>
      <c r="Q216" s="66">
        <f t="shared" si="134"/>
        <v>0</v>
      </c>
      <c r="R216" s="72">
        <f t="shared" si="135"/>
        <v>1</v>
      </c>
      <c r="S216" s="57">
        <f t="shared" si="125"/>
        <v>1</v>
      </c>
      <c r="T216" s="57">
        <f t="shared" si="136"/>
        <v>1</v>
      </c>
      <c r="U216" s="57">
        <f t="shared" si="137"/>
        <v>0</v>
      </c>
      <c r="V216" s="57">
        <f t="shared" si="138"/>
        <v>0</v>
      </c>
    </row>
    <row r="219" spans="1:22" ht="20" x14ac:dyDescent="0.2">
      <c r="A219" s="86" t="s">
        <v>929</v>
      </c>
    </row>
    <row r="220" spans="1:22" ht="20" x14ac:dyDescent="0.2">
      <c r="A220" s="86"/>
    </row>
    <row r="221" spans="1:22" x14ac:dyDescent="0.2">
      <c r="A221" s="62" t="s">
        <v>212</v>
      </c>
      <c r="B221" s="62" t="s">
        <v>930</v>
      </c>
    </row>
    <row r="222" spans="1:22" ht="17" x14ac:dyDescent="0.2">
      <c r="A222" s="64" t="s">
        <v>82</v>
      </c>
      <c r="B222" s="41">
        <f>INDEX(EndOfLife!$J$64:$J$80,MATCH(Bandwidth!$A222,EndOfLife!$A$64:$A$80,0),1)</f>
        <v>20.366908892186025</v>
      </c>
    </row>
    <row r="223" spans="1:22" ht="17" x14ac:dyDescent="0.2">
      <c r="A223" s="64" t="s">
        <v>127</v>
      </c>
      <c r="B223" s="41">
        <f>INDEX(EndOfLife!$J$64:$J$80,MATCH(Bandwidth!$A223,EndOfLife!$A$64:$A$80,0),1)</f>
        <v>1.9004609605610838</v>
      </c>
    </row>
    <row r="224" spans="1:22" ht="17" x14ac:dyDescent="0.2">
      <c r="A224" s="64" t="s">
        <v>8</v>
      </c>
      <c r="B224" s="41">
        <f>INDEX(EndOfLife!$J$64:$J$80,MATCH(Bandwidth!$A224,EndOfLife!$A$64:$A$80,0),1)</f>
        <v>1.9364381155202359</v>
      </c>
    </row>
    <row r="225" spans="1:2" ht="17" x14ac:dyDescent="0.2">
      <c r="A225" s="64" t="s">
        <v>19</v>
      </c>
      <c r="B225" s="41">
        <f>INDEX(EndOfLife!$J$64:$J$80,MATCH(Bandwidth!$A225,EndOfLife!$A$64:$A$80,0),1)</f>
        <v>1.6802864513959233</v>
      </c>
    </row>
    <row r="226" spans="1:2" ht="17" x14ac:dyDescent="0.2">
      <c r="A226" s="64" t="s">
        <v>1</v>
      </c>
      <c r="B226" s="41">
        <f>INDEX(EndOfLife!$J$64:$J$80,MATCH(Bandwidth!$A226,EndOfLife!$A$64:$A$80,0),1)</f>
        <v>2.3497989510357531</v>
      </c>
    </row>
    <row r="227" spans="1:2" ht="17" x14ac:dyDescent="0.2">
      <c r="A227" s="64" t="s">
        <v>10</v>
      </c>
      <c r="B227" s="41">
        <f>INDEX(EndOfLife!$J$64:$J$80,MATCH(Bandwidth!$A227,EndOfLife!$A$64:$A$80,0),1)</f>
        <v>1.807514640329168</v>
      </c>
    </row>
    <row r="228" spans="1:2" ht="17" x14ac:dyDescent="0.2">
      <c r="A228" s="64" t="s">
        <v>11</v>
      </c>
      <c r="B228" s="41">
        <f>INDEX(EndOfLife!$J$64:$J$80,MATCH(Bandwidth!$A228,EndOfLife!$A$64:$A$80,0),1)</f>
        <v>1.6862425775092786</v>
      </c>
    </row>
    <row r="229" spans="1:2" ht="17" x14ac:dyDescent="0.2">
      <c r="A229" s="64" t="s">
        <v>25</v>
      </c>
      <c r="B229" s="41">
        <f>INDEX(EndOfLife!$J$64:$J$80,MATCH(Bandwidth!$A229,EndOfLife!$A$64:$A$80,0),1)</f>
        <v>1.7315830917933184</v>
      </c>
    </row>
    <row r="230" spans="1:2" ht="17" x14ac:dyDescent="0.2">
      <c r="A230" s="64" t="s">
        <v>7</v>
      </c>
      <c r="B230" s="41">
        <f>INDEX(EndOfLife!$J$64:$J$80,MATCH(Bandwidth!$A230,EndOfLife!$A$64:$A$80,0),1)</f>
        <v>1.7718467934328523</v>
      </c>
    </row>
    <row r="231" spans="1:2" ht="17" x14ac:dyDescent="0.2">
      <c r="A231" s="64" t="s">
        <v>2</v>
      </c>
      <c r="B231" s="41">
        <f>INDEX(EndOfLife!$J$64:$J$80,MATCH(Bandwidth!$A231,EndOfLife!$A$64:$A$80,0),1)</f>
        <v>3.8138937580082017</v>
      </c>
    </row>
    <row r="232" spans="1:2" ht="17" x14ac:dyDescent="0.2">
      <c r="A232" s="64" t="s">
        <v>30</v>
      </c>
      <c r="B232" s="41">
        <f>INDEX(EndOfLife!$J$64:$J$80,MATCH(Bandwidth!$A232,EndOfLife!$A$64:$A$80,0),1)</f>
        <v>1.1553918727920713</v>
      </c>
    </row>
    <row r="233" spans="1:2" ht="17" x14ac:dyDescent="0.2">
      <c r="A233" s="64" t="s">
        <v>31</v>
      </c>
      <c r="B233" s="41">
        <f>INDEX(EndOfLife!$J$64:$J$80,MATCH(Bandwidth!$A233,EndOfLife!$A$64:$A$80,0),1)</f>
        <v>0.98084169246820285</v>
      </c>
    </row>
    <row r="234" spans="1:2" ht="17" x14ac:dyDescent="0.2">
      <c r="A234" s="64" t="s">
        <v>122</v>
      </c>
      <c r="B234" s="41">
        <f>INDEX(EndOfLife!$J$64:$J$80,MATCH(Bandwidth!$A234,EndOfLife!$A$64:$A$80,0),1)</f>
        <v>0.5906203232650975</v>
      </c>
    </row>
    <row r="235" spans="1:2" ht="17" x14ac:dyDescent="0.2">
      <c r="A235" s="64" t="s">
        <v>32</v>
      </c>
      <c r="B235" s="41">
        <f>INDEX(EndOfLife!$J$64:$J$80,MATCH(Bandwidth!$A235,EndOfLife!$A$64:$A$80,0),1)</f>
        <v>3.4780036556927416</v>
      </c>
    </row>
    <row r="236" spans="1:2" ht="34" x14ac:dyDescent="0.2">
      <c r="A236" s="64" t="s">
        <v>105</v>
      </c>
      <c r="B236" s="41">
        <f>INDEX(EndOfLife!$J$64:$J$80,MATCH(Bandwidth!$A236,EndOfLife!$A$64:$A$80,0),1)</f>
        <v>0.88765978446791582</v>
      </c>
    </row>
    <row r="237" spans="1:2" x14ac:dyDescent="0.2">
      <c r="A237" s="40" t="s">
        <v>576</v>
      </c>
      <c r="B237" s="41">
        <f>INDEX(EndOfLife!$J$64:$J$80,MATCH(Bandwidth!$A237,EndOfLife!$A$64:$A$80,0),1)</f>
        <v>1.8968011563510843</v>
      </c>
    </row>
    <row r="238" spans="1:2" x14ac:dyDescent="0.2">
      <c r="A238" s="40" t="s">
        <v>575</v>
      </c>
      <c r="B238" s="41">
        <f>INDEX(EndOfLife!$J$64:$J$80,MATCH(Bandwidth!$A238,EndOfLife!$A$64:$A$80,0),1)</f>
        <v>0.8261398622005065</v>
      </c>
    </row>
    <row r="240" spans="1:2" ht="20" x14ac:dyDescent="0.2">
      <c r="A240" s="86" t="s">
        <v>928</v>
      </c>
    </row>
    <row r="242" spans="1:20" ht="19" x14ac:dyDescent="0.25">
      <c r="A242" s="12" t="s">
        <v>349</v>
      </c>
    </row>
    <row r="243" spans="1:20" x14ac:dyDescent="0.2">
      <c r="A243" s="28"/>
      <c r="B243" s="69"/>
      <c r="C243" s="69"/>
      <c r="D243" s="69"/>
      <c r="E243" s="69"/>
      <c r="F243" s="69"/>
      <c r="G243" s="69"/>
      <c r="H243" s="69"/>
      <c r="I243" s="69"/>
      <c r="J243" s="69"/>
      <c r="K243" s="69"/>
      <c r="L243" s="69"/>
      <c r="M243" s="69"/>
      <c r="N243" s="69"/>
      <c r="O243" s="69"/>
      <c r="P243" s="69"/>
      <c r="Q243" s="69"/>
      <c r="R243" s="69"/>
    </row>
    <row r="245" spans="1:20" x14ac:dyDescent="0.2">
      <c r="A245" s="68" t="s">
        <v>240</v>
      </c>
    </row>
    <row r="246" spans="1:20" ht="68" x14ac:dyDescent="0.2">
      <c r="A246" s="62" t="s">
        <v>212</v>
      </c>
      <c r="B246" s="63" t="s">
        <v>213</v>
      </c>
      <c r="C246" s="63" t="s">
        <v>215</v>
      </c>
      <c r="D246" s="63" t="s">
        <v>216</v>
      </c>
      <c r="E246" s="63" t="s">
        <v>217</v>
      </c>
      <c r="F246" s="63" t="s">
        <v>218</v>
      </c>
      <c r="G246" s="63" t="s">
        <v>219</v>
      </c>
      <c r="H246" s="63" t="s">
        <v>302</v>
      </c>
      <c r="I246" s="63" t="s">
        <v>220</v>
      </c>
      <c r="J246" s="63" t="s">
        <v>221</v>
      </c>
      <c r="K246" s="63" t="s">
        <v>222</v>
      </c>
      <c r="L246" s="63" t="s">
        <v>223</v>
      </c>
      <c r="M246" s="63" t="s">
        <v>224</v>
      </c>
      <c r="N246" s="63" t="s">
        <v>225</v>
      </c>
      <c r="O246" s="63" t="s">
        <v>226</v>
      </c>
      <c r="P246" s="63" t="s">
        <v>279</v>
      </c>
      <c r="Q246" s="62" t="s">
        <v>6</v>
      </c>
      <c r="R246" s="63" t="s">
        <v>278</v>
      </c>
      <c r="S246" s="73" t="s">
        <v>110</v>
      </c>
      <c r="T246" s="73" t="s">
        <v>191</v>
      </c>
    </row>
    <row r="247" spans="1:20" ht="17" x14ac:dyDescent="0.2">
      <c r="A247" s="64" t="s">
        <v>82</v>
      </c>
      <c r="B247" s="168">
        <f>B94*INDEX($B$222:$B$238,MATCH($A247,$A$222:$A$238,0),1)</f>
        <v>2.0366908892186024</v>
      </c>
      <c r="C247" s="168">
        <f t="shared" ref="C247:Q247" si="140">C94*INDEX($B$222:$B$238,MATCH($A247,$A$222:$A$238,0),1)</f>
        <v>0</v>
      </c>
      <c r="D247" s="168">
        <f t="shared" si="140"/>
        <v>0</v>
      </c>
      <c r="E247" s="168">
        <f t="shared" si="140"/>
        <v>12.220145335311615</v>
      </c>
      <c r="F247" s="168">
        <f t="shared" si="140"/>
        <v>0</v>
      </c>
      <c r="G247" s="168">
        <f t="shared" si="140"/>
        <v>0</v>
      </c>
      <c r="H247" s="168">
        <f t="shared" si="140"/>
        <v>0</v>
      </c>
      <c r="I247" s="168">
        <f t="shared" si="140"/>
        <v>0</v>
      </c>
      <c r="J247" s="168">
        <f t="shared" si="140"/>
        <v>0</v>
      </c>
      <c r="K247" s="168">
        <f t="shared" si="140"/>
        <v>0</v>
      </c>
      <c r="L247" s="168">
        <f t="shared" si="140"/>
        <v>4.0733817784372048</v>
      </c>
      <c r="M247" s="168">
        <f t="shared" si="140"/>
        <v>0</v>
      </c>
      <c r="N247" s="168">
        <f t="shared" si="140"/>
        <v>0</v>
      </c>
      <c r="O247" s="168">
        <f t="shared" si="140"/>
        <v>0</v>
      </c>
      <c r="P247" s="168">
        <f t="shared" si="140"/>
        <v>0</v>
      </c>
      <c r="Q247" s="168">
        <f t="shared" si="140"/>
        <v>2.0366908892186042</v>
      </c>
      <c r="R247" s="168">
        <f>SUM(C247:J247,L247:O247)</f>
        <v>16.293527113748819</v>
      </c>
      <c r="S247" s="41">
        <f>SUM(B247:Q247)-INDEX($B$222:$B$238,MATCH($A247,$A$222:$A$238,0),1)</f>
        <v>0</v>
      </c>
      <c r="T247" s="41">
        <f>SUM(C247:P247)</f>
        <v>16.293527113748819</v>
      </c>
    </row>
    <row r="248" spans="1:20" ht="17" x14ac:dyDescent="0.2">
      <c r="A248" s="64" t="s">
        <v>127</v>
      </c>
      <c r="B248" s="168">
        <f t="shared" ref="B248:Q248" si="141">B95*INDEX($B$222:$B$238,MATCH($A248,$A$222:$A$238,0),1)</f>
        <v>0.19004609605610839</v>
      </c>
      <c r="C248" s="168">
        <f t="shared" si="141"/>
        <v>0</v>
      </c>
      <c r="D248" s="168">
        <f t="shared" si="141"/>
        <v>0</v>
      </c>
      <c r="E248" s="168">
        <f t="shared" si="141"/>
        <v>0</v>
      </c>
      <c r="F248" s="168">
        <f t="shared" si="141"/>
        <v>0</v>
      </c>
      <c r="G248" s="168">
        <f t="shared" si="141"/>
        <v>0</v>
      </c>
      <c r="H248" s="168">
        <f t="shared" si="141"/>
        <v>0</v>
      </c>
      <c r="I248" s="168">
        <f t="shared" si="141"/>
        <v>0</v>
      </c>
      <c r="J248" s="168">
        <f t="shared" si="141"/>
        <v>0</v>
      </c>
      <c r="K248" s="168">
        <f t="shared" si="141"/>
        <v>0</v>
      </c>
      <c r="L248" s="168">
        <f t="shared" si="141"/>
        <v>0</v>
      </c>
      <c r="M248" s="168">
        <f t="shared" si="141"/>
        <v>0</v>
      </c>
      <c r="N248" s="168">
        <f t="shared" si="141"/>
        <v>0</v>
      </c>
      <c r="O248" s="168">
        <f t="shared" si="141"/>
        <v>0</v>
      </c>
      <c r="P248" s="168">
        <f t="shared" si="141"/>
        <v>0</v>
      </c>
      <c r="Q248" s="168">
        <f t="shared" si="141"/>
        <v>1.7104148645049755</v>
      </c>
      <c r="R248" s="168">
        <f>SUM(C248:O248)</f>
        <v>0</v>
      </c>
      <c r="S248" s="41">
        <f t="shared" ref="S248:S263" si="142">SUM(B248:Q248)-INDEX($B$222:$B$238,MATCH($A248,$A$222:$A$238,0),1)</f>
        <v>0</v>
      </c>
      <c r="T248" s="41">
        <f t="shared" ref="T248:T263" si="143">SUM(C248:P248)</f>
        <v>0</v>
      </c>
    </row>
    <row r="249" spans="1:20" ht="17" x14ac:dyDescent="0.2">
      <c r="A249" s="64" t="s">
        <v>8</v>
      </c>
      <c r="B249" s="168">
        <f t="shared" ref="B249:Q249" si="144">B96*INDEX($B$222:$B$238,MATCH($A249,$A$222:$A$238,0),1)</f>
        <v>0.19364381155202359</v>
      </c>
      <c r="C249" s="168">
        <f t="shared" si="144"/>
        <v>0.29046571732803539</v>
      </c>
      <c r="D249" s="168">
        <f t="shared" si="144"/>
        <v>0</v>
      </c>
      <c r="E249" s="168">
        <f t="shared" si="144"/>
        <v>0</v>
      </c>
      <c r="F249" s="168">
        <f t="shared" si="144"/>
        <v>0</v>
      </c>
      <c r="G249" s="168">
        <f t="shared" si="144"/>
        <v>0</v>
      </c>
      <c r="H249" s="168">
        <f t="shared" si="144"/>
        <v>0</v>
      </c>
      <c r="I249" s="168">
        <f t="shared" si="144"/>
        <v>0</v>
      </c>
      <c r="J249" s="168">
        <f t="shared" si="144"/>
        <v>0</v>
      </c>
      <c r="K249" s="168">
        <f t="shared" si="144"/>
        <v>0.58093143465607078</v>
      </c>
      <c r="L249" s="168">
        <f t="shared" si="144"/>
        <v>0</v>
      </c>
      <c r="M249" s="168">
        <f t="shared" si="144"/>
        <v>0</v>
      </c>
      <c r="N249" s="168">
        <f t="shared" si="144"/>
        <v>0</v>
      </c>
      <c r="O249" s="168">
        <f t="shared" si="144"/>
        <v>0</v>
      </c>
      <c r="P249" s="168">
        <f t="shared" si="144"/>
        <v>0</v>
      </c>
      <c r="Q249" s="168">
        <f t="shared" si="144"/>
        <v>0.87139715198410606</v>
      </c>
      <c r="R249" s="168">
        <f>SUM(C249:J249,L249:O249)</f>
        <v>0.29046571732803539</v>
      </c>
      <c r="S249" s="41">
        <f t="shared" si="142"/>
        <v>0</v>
      </c>
      <c r="T249" s="41">
        <f t="shared" si="143"/>
        <v>0.87139715198410617</v>
      </c>
    </row>
    <row r="250" spans="1:20" ht="17" x14ac:dyDescent="0.2">
      <c r="A250" s="64" t="s">
        <v>19</v>
      </c>
      <c r="B250" s="168">
        <f t="shared" ref="B250:Q250" si="145">B97*INDEX($B$222:$B$238,MATCH($A250,$A$222:$A$238,0),1)</f>
        <v>0.16802864513959234</v>
      </c>
      <c r="C250" s="168">
        <f t="shared" si="145"/>
        <v>0.2520429677093885</v>
      </c>
      <c r="D250" s="168">
        <f t="shared" si="145"/>
        <v>0</v>
      </c>
      <c r="E250" s="168">
        <f t="shared" si="145"/>
        <v>0</v>
      </c>
      <c r="F250" s="168">
        <f t="shared" si="145"/>
        <v>0</v>
      </c>
      <c r="G250" s="168">
        <f t="shared" si="145"/>
        <v>0</v>
      </c>
      <c r="H250" s="168">
        <f t="shared" si="145"/>
        <v>0</v>
      </c>
      <c r="I250" s="168">
        <f t="shared" si="145"/>
        <v>0</v>
      </c>
      <c r="J250" s="168">
        <f t="shared" si="145"/>
        <v>0</v>
      </c>
      <c r="K250" s="168">
        <f t="shared" si="145"/>
        <v>0.504085935418777</v>
      </c>
      <c r="L250" s="168">
        <f t="shared" si="145"/>
        <v>0</v>
      </c>
      <c r="M250" s="168">
        <f t="shared" si="145"/>
        <v>0</v>
      </c>
      <c r="N250" s="168">
        <f t="shared" si="145"/>
        <v>0</v>
      </c>
      <c r="O250" s="168">
        <f t="shared" si="145"/>
        <v>0</v>
      </c>
      <c r="P250" s="168">
        <f t="shared" si="145"/>
        <v>0</v>
      </c>
      <c r="Q250" s="168">
        <f t="shared" si="145"/>
        <v>0.75612890312816539</v>
      </c>
      <c r="R250" s="168">
        <f t="shared" ref="R250:R260" si="146">SUM(C250:J250,L250:O250)</f>
        <v>0.2520429677093885</v>
      </c>
      <c r="S250" s="41">
        <f t="shared" si="142"/>
        <v>0</v>
      </c>
      <c r="T250" s="41">
        <f t="shared" si="143"/>
        <v>0.7561289031281655</v>
      </c>
    </row>
    <row r="251" spans="1:20" ht="17" x14ac:dyDescent="0.2">
      <c r="A251" s="64" t="s">
        <v>1</v>
      </c>
      <c r="B251" s="168">
        <f t="shared" ref="B251:Q251" si="147">B98*INDEX($B$222:$B$238,MATCH($A251,$A$222:$A$238,0),1)</f>
        <v>0</v>
      </c>
      <c r="C251" s="168">
        <f t="shared" si="147"/>
        <v>2.1148190559321778</v>
      </c>
      <c r="D251" s="168">
        <f t="shared" si="147"/>
        <v>0</v>
      </c>
      <c r="E251" s="168">
        <f t="shared" si="147"/>
        <v>0</v>
      </c>
      <c r="F251" s="168">
        <f t="shared" si="147"/>
        <v>0</v>
      </c>
      <c r="G251" s="168">
        <f t="shared" si="147"/>
        <v>0</v>
      </c>
      <c r="H251" s="168">
        <f t="shared" si="147"/>
        <v>0</v>
      </c>
      <c r="I251" s="168">
        <f t="shared" si="147"/>
        <v>0</v>
      </c>
      <c r="J251" s="168">
        <f t="shared" si="147"/>
        <v>0</v>
      </c>
      <c r="K251" s="168">
        <f t="shared" si="147"/>
        <v>0.23497989510357531</v>
      </c>
      <c r="L251" s="168">
        <f t="shared" si="147"/>
        <v>0</v>
      </c>
      <c r="M251" s="168">
        <f t="shared" si="147"/>
        <v>0</v>
      </c>
      <c r="N251" s="168">
        <f t="shared" si="147"/>
        <v>0</v>
      </c>
      <c r="O251" s="168">
        <f t="shared" si="147"/>
        <v>0</v>
      </c>
      <c r="P251" s="168">
        <f t="shared" si="147"/>
        <v>0</v>
      </c>
      <c r="Q251" s="168">
        <f t="shared" si="147"/>
        <v>0</v>
      </c>
      <c r="R251" s="168">
        <f t="shared" si="146"/>
        <v>2.1148190559321778</v>
      </c>
      <c r="S251" s="41">
        <f t="shared" si="142"/>
        <v>0</v>
      </c>
      <c r="T251" s="41">
        <f t="shared" si="143"/>
        <v>2.3497989510357531</v>
      </c>
    </row>
    <row r="252" spans="1:20" ht="17" x14ac:dyDescent="0.2">
      <c r="A252" s="64" t="s">
        <v>10</v>
      </c>
      <c r="B252" s="168">
        <f t="shared" ref="B252:Q252" si="148">B99*INDEX($B$222:$B$238,MATCH($A252,$A$222:$A$238,0),1)</f>
        <v>0.18075146403291681</v>
      </c>
      <c r="C252" s="168">
        <f t="shared" si="148"/>
        <v>9.0375732016458404E-2</v>
      </c>
      <c r="D252" s="168">
        <f t="shared" si="148"/>
        <v>0</v>
      </c>
      <c r="E252" s="168">
        <f t="shared" si="148"/>
        <v>0</v>
      </c>
      <c r="F252" s="168">
        <f t="shared" si="148"/>
        <v>0</v>
      </c>
      <c r="G252" s="168">
        <f t="shared" si="148"/>
        <v>0</v>
      </c>
      <c r="H252" s="168">
        <f t="shared" si="148"/>
        <v>0</v>
      </c>
      <c r="I252" s="168">
        <f t="shared" si="148"/>
        <v>0</v>
      </c>
      <c r="J252" s="168">
        <f t="shared" si="148"/>
        <v>0</v>
      </c>
      <c r="K252" s="168">
        <f t="shared" si="148"/>
        <v>0.54225439209875037</v>
      </c>
      <c r="L252" s="168">
        <f t="shared" si="148"/>
        <v>0</v>
      </c>
      <c r="M252" s="168">
        <f t="shared" si="148"/>
        <v>0</v>
      </c>
      <c r="N252" s="168">
        <f t="shared" si="148"/>
        <v>0.6326301241152088</v>
      </c>
      <c r="O252" s="168">
        <f t="shared" si="148"/>
        <v>0</v>
      </c>
      <c r="P252" s="168">
        <f t="shared" si="148"/>
        <v>0</v>
      </c>
      <c r="Q252" s="168">
        <f t="shared" si="148"/>
        <v>0.36150292806583351</v>
      </c>
      <c r="R252" s="168">
        <f t="shared" si="146"/>
        <v>0.72300585613166723</v>
      </c>
      <c r="S252" s="41">
        <f t="shared" si="142"/>
        <v>0</v>
      </c>
      <c r="T252" s="41">
        <f t="shared" si="143"/>
        <v>1.2652602482304176</v>
      </c>
    </row>
    <row r="253" spans="1:20" ht="17" x14ac:dyDescent="0.2">
      <c r="A253" s="64" t="s">
        <v>11</v>
      </c>
      <c r="B253" s="168">
        <f t="shared" ref="B253:Q253" si="149">B100*INDEX($B$222:$B$238,MATCH($A253,$A$222:$A$238,0),1)</f>
        <v>0.16862425775092788</v>
      </c>
      <c r="C253" s="168">
        <f t="shared" si="149"/>
        <v>8.4312128875463938E-2</v>
      </c>
      <c r="D253" s="168">
        <f t="shared" si="149"/>
        <v>0</v>
      </c>
      <c r="E253" s="168">
        <f t="shared" si="149"/>
        <v>0</v>
      </c>
      <c r="F253" s="168">
        <f t="shared" si="149"/>
        <v>0</v>
      </c>
      <c r="G253" s="168">
        <f t="shared" si="149"/>
        <v>0</v>
      </c>
      <c r="H253" s="168">
        <f t="shared" si="149"/>
        <v>0</v>
      </c>
      <c r="I253" s="168">
        <f t="shared" si="149"/>
        <v>0</v>
      </c>
      <c r="J253" s="168">
        <f t="shared" si="149"/>
        <v>0</v>
      </c>
      <c r="K253" s="168">
        <f t="shared" si="149"/>
        <v>0.50587277325278357</v>
      </c>
      <c r="L253" s="168">
        <f t="shared" si="149"/>
        <v>0</v>
      </c>
      <c r="M253" s="168">
        <f t="shared" si="149"/>
        <v>0</v>
      </c>
      <c r="N253" s="168">
        <f t="shared" si="149"/>
        <v>0</v>
      </c>
      <c r="O253" s="168">
        <f t="shared" si="149"/>
        <v>0.59018490212824748</v>
      </c>
      <c r="P253" s="168">
        <f t="shared" si="149"/>
        <v>0</v>
      </c>
      <c r="Q253" s="168">
        <f t="shared" si="149"/>
        <v>0.33724851550185564</v>
      </c>
      <c r="R253" s="168">
        <f t="shared" si="146"/>
        <v>0.67449703100371139</v>
      </c>
      <c r="S253" s="41">
        <f t="shared" si="142"/>
        <v>0</v>
      </c>
      <c r="T253" s="41">
        <f t="shared" si="143"/>
        <v>1.180369804256495</v>
      </c>
    </row>
    <row r="254" spans="1:20" ht="17" x14ac:dyDescent="0.2">
      <c r="A254" s="64" t="s">
        <v>25</v>
      </c>
      <c r="B254" s="168">
        <f t="shared" ref="B254:Q254" si="150">B101*INDEX($B$222:$B$238,MATCH($A254,$A$222:$A$238,0),1)</f>
        <v>0.17315830917933184</v>
      </c>
      <c r="C254" s="168">
        <f t="shared" si="150"/>
        <v>8.6579154589665919E-2</v>
      </c>
      <c r="D254" s="168">
        <f t="shared" si="150"/>
        <v>0</v>
      </c>
      <c r="E254" s="168">
        <f t="shared" si="150"/>
        <v>0</v>
      </c>
      <c r="F254" s="168">
        <f t="shared" si="150"/>
        <v>0</v>
      </c>
      <c r="G254" s="168">
        <f t="shared" si="150"/>
        <v>0</v>
      </c>
      <c r="H254" s="168">
        <f t="shared" si="150"/>
        <v>0</v>
      </c>
      <c r="I254" s="168">
        <f t="shared" si="150"/>
        <v>0</v>
      </c>
      <c r="J254" s="168">
        <f t="shared" si="150"/>
        <v>0</v>
      </c>
      <c r="K254" s="168">
        <f t="shared" si="150"/>
        <v>0.51947492753799551</v>
      </c>
      <c r="L254" s="168">
        <f t="shared" si="150"/>
        <v>0</v>
      </c>
      <c r="M254" s="168">
        <f t="shared" si="150"/>
        <v>0</v>
      </c>
      <c r="N254" s="168">
        <f t="shared" si="150"/>
        <v>0</v>
      </c>
      <c r="O254" s="168">
        <f t="shared" si="150"/>
        <v>0.60605408212766143</v>
      </c>
      <c r="P254" s="168">
        <f t="shared" si="150"/>
        <v>0</v>
      </c>
      <c r="Q254" s="168">
        <f t="shared" si="150"/>
        <v>0.34631661835866362</v>
      </c>
      <c r="R254" s="168">
        <f t="shared" si="146"/>
        <v>0.69263323671732735</v>
      </c>
      <c r="S254" s="41">
        <f t="shared" si="142"/>
        <v>0</v>
      </c>
      <c r="T254" s="41">
        <f t="shared" si="143"/>
        <v>1.2121081642553229</v>
      </c>
    </row>
    <row r="255" spans="1:20" ht="17" x14ac:dyDescent="0.2">
      <c r="A255" s="64" t="s">
        <v>7</v>
      </c>
      <c r="B255" s="168">
        <f t="shared" ref="B255:Q255" si="151">B102*INDEX($B$222:$B$238,MATCH($A255,$A$222:$A$238,0),1)</f>
        <v>0</v>
      </c>
      <c r="C255" s="168">
        <f t="shared" si="151"/>
        <v>8.8592339671642623E-2</v>
      </c>
      <c r="D255" s="168">
        <f t="shared" si="151"/>
        <v>0</v>
      </c>
      <c r="E255" s="168">
        <f t="shared" si="151"/>
        <v>0</v>
      </c>
      <c r="F255" s="168">
        <f t="shared" si="151"/>
        <v>0</v>
      </c>
      <c r="G255" s="168">
        <f t="shared" si="151"/>
        <v>0</v>
      </c>
      <c r="H255" s="168">
        <f t="shared" si="151"/>
        <v>0</v>
      </c>
      <c r="I255" s="168">
        <f t="shared" si="151"/>
        <v>0</v>
      </c>
      <c r="J255" s="168">
        <f t="shared" si="151"/>
        <v>0</v>
      </c>
      <c r="K255" s="168">
        <f t="shared" si="151"/>
        <v>0</v>
      </c>
      <c r="L255" s="168">
        <f t="shared" si="151"/>
        <v>0</v>
      </c>
      <c r="M255" s="168">
        <f t="shared" si="151"/>
        <v>0</v>
      </c>
      <c r="N255" s="168">
        <f t="shared" si="151"/>
        <v>0</v>
      </c>
      <c r="O255" s="168">
        <f t="shared" si="151"/>
        <v>0</v>
      </c>
      <c r="P255" s="168">
        <f t="shared" si="151"/>
        <v>0</v>
      </c>
      <c r="Q255" s="168">
        <f t="shared" si="151"/>
        <v>1.6832544537612097</v>
      </c>
      <c r="R255" s="168">
        <f t="shared" si="146"/>
        <v>8.8592339671642623E-2</v>
      </c>
      <c r="S255" s="41">
        <f t="shared" si="142"/>
        <v>0</v>
      </c>
      <c r="T255" s="41">
        <f t="shared" si="143"/>
        <v>8.8592339671642623E-2</v>
      </c>
    </row>
    <row r="256" spans="1:20" ht="17" x14ac:dyDescent="0.2">
      <c r="A256" s="64" t="s">
        <v>2</v>
      </c>
      <c r="B256" s="168">
        <f t="shared" ref="B256:Q256" si="152">B103*INDEX($B$222:$B$238,MATCH($A256,$A$222:$A$238,0),1)</f>
        <v>0</v>
      </c>
      <c r="C256" s="168">
        <f t="shared" si="152"/>
        <v>1.9069468790041009</v>
      </c>
      <c r="D256" s="168">
        <f t="shared" si="152"/>
        <v>0</v>
      </c>
      <c r="E256" s="168">
        <f t="shared" si="152"/>
        <v>0.76277875160164044</v>
      </c>
      <c r="F256" s="168">
        <f t="shared" si="152"/>
        <v>0</v>
      </c>
      <c r="G256" s="168">
        <f t="shared" si="152"/>
        <v>0.38138937580082022</v>
      </c>
      <c r="H256" s="168">
        <f t="shared" si="152"/>
        <v>0</v>
      </c>
      <c r="I256" s="168">
        <f t="shared" si="152"/>
        <v>0</v>
      </c>
      <c r="J256" s="168">
        <f t="shared" si="152"/>
        <v>0.76277875160164044</v>
      </c>
      <c r="K256" s="168">
        <f t="shared" si="152"/>
        <v>0</v>
      </c>
      <c r="L256" s="168">
        <f t="shared" si="152"/>
        <v>0</v>
      </c>
      <c r="M256" s="168">
        <f t="shared" si="152"/>
        <v>0</v>
      </c>
      <c r="N256" s="168">
        <f t="shared" si="152"/>
        <v>0</v>
      </c>
      <c r="O256" s="168">
        <f t="shared" si="152"/>
        <v>0</v>
      </c>
      <c r="P256" s="168">
        <f t="shared" si="152"/>
        <v>0</v>
      </c>
      <c r="Q256" s="168">
        <f t="shared" si="152"/>
        <v>0</v>
      </c>
      <c r="R256" s="168">
        <f t="shared" si="146"/>
        <v>3.8138937580082022</v>
      </c>
      <c r="S256" s="41">
        <f t="shared" si="142"/>
        <v>0</v>
      </c>
      <c r="T256" s="41">
        <f t="shared" si="143"/>
        <v>3.8138937580082022</v>
      </c>
    </row>
    <row r="257" spans="1:20" ht="17" x14ac:dyDescent="0.2">
      <c r="A257" s="64" t="s">
        <v>30</v>
      </c>
      <c r="B257" s="168">
        <f t="shared" ref="B257:Q257" si="153">B104*INDEX($B$222:$B$238,MATCH($A257,$A$222:$A$238,0),1)</f>
        <v>0.11553918727920715</v>
      </c>
      <c r="C257" s="168">
        <f t="shared" si="153"/>
        <v>0</v>
      </c>
      <c r="D257" s="168">
        <f t="shared" si="153"/>
        <v>0</v>
      </c>
      <c r="E257" s="168">
        <f t="shared" si="153"/>
        <v>0</v>
      </c>
      <c r="F257" s="168">
        <f t="shared" si="153"/>
        <v>0</v>
      </c>
      <c r="G257" s="168">
        <f t="shared" si="153"/>
        <v>0</v>
      </c>
      <c r="H257" s="168">
        <f t="shared" si="153"/>
        <v>0</v>
      </c>
      <c r="I257" s="168">
        <f t="shared" si="153"/>
        <v>0</v>
      </c>
      <c r="J257" s="168">
        <f t="shared" si="153"/>
        <v>0.23107837455841429</v>
      </c>
      <c r="K257" s="168">
        <f t="shared" si="153"/>
        <v>0</v>
      </c>
      <c r="L257" s="168">
        <f t="shared" si="153"/>
        <v>0</v>
      </c>
      <c r="M257" s="168">
        <f t="shared" si="153"/>
        <v>0</v>
      </c>
      <c r="N257" s="168">
        <f t="shared" si="153"/>
        <v>0</v>
      </c>
      <c r="O257" s="168">
        <f t="shared" si="153"/>
        <v>0</v>
      </c>
      <c r="P257" s="168">
        <f t="shared" si="153"/>
        <v>0</v>
      </c>
      <c r="Q257" s="168">
        <f t="shared" si="153"/>
        <v>0.80877431095444985</v>
      </c>
      <c r="R257" s="168">
        <f t="shared" si="146"/>
        <v>0.23107837455841429</v>
      </c>
      <c r="S257" s="41">
        <f t="shared" si="142"/>
        <v>0</v>
      </c>
      <c r="T257" s="41">
        <f t="shared" si="143"/>
        <v>0.23107837455841429</v>
      </c>
    </row>
    <row r="258" spans="1:20" ht="17" x14ac:dyDescent="0.2">
      <c r="A258" s="64" t="s">
        <v>31</v>
      </c>
      <c r="B258" s="168">
        <f t="shared" ref="B258:Q258" si="154">B105*INDEX($B$222:$B$238,MATCH($A258,$A$222:$A$238,0),1)</f>
        <v>0</v>
      </c>
      <c r="C258" s="168">
        <f t="shared" si="154"/>
        <v>0.78467335397456228</v>
      </c>
      <c r="D258" s="168">
        <f t="shared" si="154"/>
        <v>0</v>
      </c>
      <c r="E258" s="168">
        <f t="shared" si="154"/>
        <v>0</v>
      </c>
      <c r="F258" s="168">
        <f t="shared" si="154"/>
        <v>0</v>
      </c>
      <c r="G258" s="168">
        <f t="shared" si="154"/>
        <v>0</v>
      </c>
      <c r="H258" s="168">
        <f t="shared" si="154"/>
        <v>0</v>
      </c>
      <c r="I258" s="168">
        <f t="shared" si="154"/>
        <v>0</v>
      </c>
      <c r="J258" s="168">
        <f t="shared" si="154"/>
        <v>0</v>
      </c>
      <c r="K258" s="168">
        <f t="shared" si="154"/>
        <v>0</v>
      </c>
      <c r="L258" s="168">
        <f t="shared" si="154"/>
        <v>0</v>
      </c>
      <c r="M258" s="168">
        <f t="shared" si="154"/>
        <v>0</v>
      </c>
      <c r="N258" s="168">
        <f t="shared" si="154"/>
        <v>0</v>
      </c>
      <c r="O258" s="168">
        <f t="shared" si="154"/>
        <v>0</v>
      </c>
      <c r="P258" s="168">
        <f t="shared" si="154"/>
        <v>0</v>
      </c>
      <c r="Q258" s="168">
        <f t="shared" si="154"/>
        <v>0.19616833849364052</v>
      </c>
      <c r="R258" s="168">
        <f t="shared" si="146"/>
        <v>0.78467335397456228</v>
      </c>
      <c r="S258" s="41">
        <f t="shared" si="142"/>
        <v>0</v>
      </c>
      <c r="T258" s="41">
        <f t="shared" si="143"/>
        <v>0.78467335397456228</v>
      </c>
    </row>
    <row r="259" spans="1:20" ht="17" x14ac:dyDescent="0.2">
      <c r="A259" s="64" t="s">
        <v>122</v>
      </c>
      <c r="B259" s="168">
        <f t="shared" ref="B259:Q259" si="155">B106*INDEX($B$222:$B$238,MATCH($A259,$A$222:$A$238,0),1)</f>
        <v>5.906203232650975E-2</v>
      </c>
      <c r="C259" s="168">
        <f t="shared" si="155"/>
        <v>0</v>
      </c>
      <c r="D259" s="168">
        <f t="shared" si="155"/>
        <v>0</v>
      </c>
      <c r="E259" s="168">
        <f t="shared" si="155"/>
        <v>0.236248129306039</v>
      </c>
      <c r="F259" s="168">
        <f t="shared" si="155"/>
        <v>0</v>
      </c>
      <c r="G259" s="168">
        <f t="shared" si="155"/>
        <v>0.236248129306039</v>
      </c>
      <c r="H259" s="168">
        <f t="shared" si="155"/>
        <v>0</v>
      </c>
      <c r="I259" s="168">
        <f t="shared" si="155"/>
        <v>0</v>
      </c>
      <c r="J259" s="168">
        <f t="shared" si="155"/>
        <v>0</v>
      </c>
      <c r="K259" s="168">
        <f t="shared" si="155"/>
        <v>0</v>
      </c>
      <c r="L259" s="168">
        <f t="shared" si="155"/>
        <v>0</v>
      </c>
      <c r="M259" s="168">
        <f t="shared" si="155"/>
        <v>0</v>
      </c>
      <c r="N259" s="168">
        <f t="shared" si="155"/>
        <v>0</v>
      </c>
      <c r="O259" s="168">
        <f t="shared" si="155"/>
        <v>0</v>
      </c>
      <c r="P259" s="168">
        <f t="shared" si="155"/>
        <v>0</v>
      </c>
      <c r="Q259" s="168">
        <f t="shared" si="155"/>
        <v>5.9062032326509736E-2</v>
      </c>
      <c r="R259" s="168">
        <f t="shared" si="146"/>
        <v>0.472496258612078</v>
      </c>
      <c r="S259" s="41">
        <f t="shared" si="142"/>
        <v>0</v>
      </c>
      <c r="T259" s="41">
        <f t="shared" si="143"/>
        <v>0.472496258612078</v>
      </c>
    </row>
    <row r="260" spans="1:20" ht="17" x14ac:dyDescent="0.2">
      <c r="A260" s="64" t="s">
        <v>32</v>
      </c>
      <c r="B260" s="168">
        <f t="shared" ref="B260:Q260" si="156">B107*INDEX($B$222:$B$238,MATCH($A260,$A$222:$A$238,0),1)</f>
        <v>0</v>
      </c>
      <c r="C260" s="168">
        <f t="shared" si="156"/>
        <v>2.7824029245541935</v>
      </c>
      <c r="D260" s="168">
        <f t="shared" si="156"/>
        <v>0</v>
      </c>
      <c r="E260" s="168">
        <f t="shared" si="156"/>
        <v>0</v>
      </c>
      <c r="F260" s="168">
        <f t="shared" si="156"/>
        <v>0</v>
      </c>
      <c r="G260" s="168">
        <f t="shared" si="156"/>
        <v>0</v>
      </c>
      <c r="H260" s="168">
        <f t="shared" si="156"/>
        <v>0</v>
      </c>
      <c r="I260" s="168">
        <f t="shared" si="156"/>
        <v>0</v>
      </c>
      <c r="J260" s="168">
        <f t="shared" si="156"/>
        <v>0</v>
      </c>
      <c r="K260" s="168">
        <f t="shared" si="156"/>
        <v>0</v>
      </c>
      <c r="L260" s="168">
        <f t="shared" si="156"/>
        <v>0</v>
      </c>
      <c r="M260" s="168">
        <f t="shared" si="156"/>
        <v>0</v>
      </c>
      <c r="N260" s="168">
        <f t="shared" si="156"/>
        <v>0</v>
      </c>
      <c r="O260" s="168">
        <f t="shared" si="156"/>
        <v>0</v>
      </c>
      <c r="P260" s="168">
        <f t="shared" si="156"/>
        <v>0</v>
      </c>
      <c r="Q260" s="168">
        <f t="shared" si="156"/>
        <v>0.69560073113854815</v>
      </c>
      <c r="R260" s="168">
        <f t="shared" si="146"/>
        <v>2.7824029245541935</v>
      </c>
      <c r="S260" s="41">
        <f t="shared" si="142"/>
        <v>0</v>
      </c>
      <c r="T260" s="41">
        <f t="shared" si="143"/>
        <v>2.7824029245541935</v>
      </c>
    </row>
    <row r="261" spans="1:20" ht="34" x14ac:dyDescent="0.2">
      <c r="A261" s="64" t="s">
        <v>105</v>
      </c>
      <c r="B261" s="168">
        <f t="shared" ref="B261:Q261" si="157">B108*INDEX($B$222:$B$238,MATCH($A261,$A$222:$A$238,0),1)</f>
        <v>0</v>
      </c>
      <c r="C261" s="168">
        <f t="shared" si="157"/>
        <v>0</v>
      </c>
      <c r="D261" s="168">
        <f t="shared" si="157"/>
        <v>0</v>
      </c>
      <c r="E261" s="168">
        <f t="shared" si="157"/>
        <v>0</v>
      </c>
      <c r="F261" s="168">
        <f t="shared" si="157"/>
        <v>0</v>
      </c>
      <c r="G261" s="168">
        <f t="shared" si="157"/>
        <v>0</v>
      </c>
      <c r="H261" s="168">
        <f t="shared" si="157"/>
        <v>0</v>
      </c>
      <c r="I261" s="168">
        <f t="shared" si="157"/>
        <v>0</v>
      </c>
      <c r="J261" s="168">
        <f t="shared" si="157"/>
        <v>0</v>
      </c>
      <c r="K261" s="168">
        <f t="shared" si="157"/>
        <v>0</v>
      </c>
      <c r="L261" s="168">
        <f t="shared" si="157"/>
        <v>0</v>
      </c>
      <c r="M261" s="168">
        <f t="shared" si="157"/>
        <v>0</v>
      </c>
      <c r="N261" s="168">
        <f t="shared" si="157"/>
        <v>0</v>
      </c>
      <c r="O261" s="168">
        <f t="shared" si="157"/>
        <v>0</v>
      </c>
      <c r="P261" s="168">
        <f t="shared" si="157"/>
        <v>0.71900442541901188</v>
      </c>
      <c r="Q261" s="168">
        <f t="shared" si="157"/>
        <v>0.16865535904890397</v>
      </c>
      <c r="R261" s="168">
        <f>SUM(C261:J261,L261:P261)</f>
        <v>0.71900442541901188</v>
      </c>
      <c r="S261" s="41">
        <f t="shared" si="142"/>
        <v>0</v>
      </c>
      <c r="T261" s="41">
        <f t="shared" si="143"/>
        <v>0.71900442541901188</v>
      </c>
    </row>
    <row r="262" spans="1:20" x14ac:dyDescent="0.2">
      <c r="A262" s="40" t="s">
        <v>576</v>
      </c>
      <c r="B262" s="168">
        <f t="shared" ref="B262:Q262" si="158">B109*INDEX($B$222:$B$238,MATCH($A262,$A$222:$A$238,0),1)</f>
        <v>0.18968011563510845</v>
      </c>
      <c r="C262" s="168">
        <f t="shared" si="158"/>
        <v>0</v>
      </c>
      <c r="D262" s="168">
        <f t="shared" si="158"/>
        <v>0</v>
      </c>
      <c r="E262" s="168">
        <f t="shared" si="158"/>
        <v>0</v>
      </c>
      <c r="F262" s="168">
        <f t="shared" si="158"/>
        <v>0</v>
      </c>
      <c r="G262" s="168">
        <f t="shared" si="158"/>
        <v>0</v>
      </c>
      <c r="H262" s="168">
        <f t="shared" si="158"/>
        <v>0</v>
      </c>
      <c r="I262" s="168">
        <f t="shared" si="158"/>
        <v>0</v>
      </c>
      <c r="J262" s="168">
        <f t="shared" si="158"/>
        <v>0</v>
      </c>
      <c r="K262" s="168">
        <f t="shared" si="158"/>
        <v>0</v>
      </c>
      <c r="L262" s="168">
        <f t="shared" si="158"/>
        <v>0</v>
      </c>
      <c r="M262" s="168">
        <f t="shared" si="158"/>
        <v>0</v>
      </c>
      <c r="N262" s="168">
        <f t="shared" si="158"/>
        <v>0</v>
      </c>
      <c r="O262" s="168">
        <f t="shared" si="158"/>
        <v>0</v>
      </c>
      <c r="P262" s="168">
        <f t="shared" si="158"/>
        <v>0</v>
      </c>
      <c r="Q262" s="168">
        <f t="shared" si="158"/>
        <v>1.7071210407159758</v>
      </c>
      <c r="R262" s="168">
        <f t="shared" ref="R262:R263" si="159">SUM(C262:J262,L262:P262)</f>
        <v>0</v>
      </c>
      <c r="S262" s="41">
        <f t="shared" si="142"/>
        <v>0</v>
      </c>
      <c r="T262" s="41">
        <f t="shared" si="143"/>
        <v>0</v>
      </c>
    </row>
    <row r="263" spans="1:20" x14ac:dyDescent="0.2">
      <c r="A263" s="40" t="s">
        <v>575</v>
      </c>
      <c r="B263" s="168">
        <f t="shared" ref="B263:Q263" si="160">B110*INDEX($B$222:$B$238,MATCH($A263,$A$222:$A$238,0),1)</f>
        <v>8.2613986220050659E-2</v>
      </c>
      <c r="C263" s="168">
        <f t="shared" si="160"/>
        <v>0</v>
      </c>
      <c r="D263" s="168">
        <f t="shared" si="160"/>
        <v>0</v>
      </c>
      <c r="E263" s="168">
        <f t="shared" si="160"/>
        <v>0</v>
      </c>
      <c r="F263" s="168">
        <f t="shared" si="160"/>
        <v>0</v>
      </c>
      <c r="G263" s="168">
        <f t="shared" si="160"/>
        <v>0</v>
      </c>
      <c r="H263" s="168">
        <f t="shared" si="160"/>
        <v>0</v>
      </c>
      <c r="I263" s="168">
        <f t="shared" si="160"/>
        <v>0</v>
      </c>
      <c r="J263" s="168">
        <f t="shared" si="160"/>
        <v>0</v>
      </c>
      <c r="K263" s="168">
        <f t="shared" si="160"/>
        <v>0</v>
      </c>
      <c r="L263" s="168">
        <f t="shared" si="160"/>
        <v>0</v>
      </c>
      <c r="M263" s="168">
        <f t="shared" si="160"/>
        <v>0</v>
      </c>
      <c r="N263" s="168">
        <f t="shared" si="160"/>
        <v>0</v>
      </c>
      <c r="O263" s="168">
        <f t="shared" si="160"/>
        <v>0</v>
      </c>
      <c r="P263" s="168">
        <f t="shared" si="160"/>
        <v>0</v>
      </c>
      <c r="Q263" s="168">
        <f t="shared" si="160"/>
        <v>0.74352587598045583</v>
      </c>
      <c r="R263" s="168">
        <f t="shared" si="159"/>
        <v>0</v>
      </c>
      <c r="S263" s="41">
        <f t="shared" si="142"/>
        <v>0</v>
      </c>
      <c r="T263" s="41">
        <f t="shared" si="143"/>
        <v>0</v>
      </c>
    </row>
    <row r="264" spans="1:20" x14ac:dyDescent="0.2">
      <c r="A264" t="s">
        <v>233</v>
      </c>
      <c r="B264" s="69"/>
      <c r="C264" s="69"/>
      <c r="D264" s="69"/>
      <c r="E264" s="69"/>
      <c r="F264" s="69"/>
      <c r="G264" s="69"/>
      <c r="H264" s="69"/>
      <c r="I264" s="69"/>
      <c r="J264" s="69"/>
      <c r="K264" s="69"/>
      <c r="L264" s="69"/>
      <c r="M264" s="69"/>
      <c r="N264" s="69"/>
      <c r="O264" s="69"/>
      <c r="P264" s="69"/>
      <c r="Q264" s="69"/>
      <c r="T264" s="11"/>
    </row>
    <row r="265" spans="1:20" x14ac:dyDescent="0.2">
      <c r="A265" t="s">
        <v>912</v>
      </c>
      <c r="B265" s="69"/>
      <c r="C265" s="69"/>
      <c r="D265" s="69"/>
      <c r="E265" s="69"/>
      <c r="F265" s="69"/>
      <c r="G265" s="69"/>
      <c r="H265" s="69"/>
      <c r="I265" s="69"/>
      <c r="J265" s="69"/>
      <c r="K265" s="69"/>
      <c r="L265" s="69"/>
      <c r="M265" s="69"/>
      <c r="N265" s="69"/>
      <c r="O265" s="69"/>
      <c r="P265" s="69"/>
      <c r="Q265" s="69"/>
      <c r="T265" s="11"/>
    </row>
    <row r="267" spans="1:20" x14ac:dyDescent="0.2">
      <c r="A267" s="61" t="s">
        <v>232</v>
      </c>
    </row>
    <row r="268" spans="1:20" ht="68" x14ac:dyDescent="0.2">
      <c r="A268" s="62" t="s">
        <v>212</v>
      </c>
      <c r="B268" s="63" t="s">
        <v>213</v>
      </c>
      <c r="C268" s="63" t="s">
        <v>215</v>
      </c>
      <c r="D268" s="63" t="s">
        <v>216</v>
      </c>
      <c r="E268" s="63" t="s">
        <v>217</v>
      </c>
      <c r="F268" s="63" t="s">
        <v>218</v>
      </c>
      <c r="G268" s="63" t="s">
        <v>219</v>
      </c>
      <c r="H268" s="63" t="s">
        <v>302</v>
      </c>
      <c r="I268" s="63" t="s">
        <v>220</v>
      </c>
      <c r="J268" s="63" t="s">
        <v>221</v>
      </c>
      <c r="K268" s="63" t="s">
        <v>222</v>
      </c>
      <c r="L268" s="63" t="s">
        <v>223</v>
      </c>
      <c r="M268" s="63" t="s">
        <v>224</v>
      </c>
      <c r="N268" s="63" t="s">
        <v>225</v>
      </c>
      <c r="O268" s="63" t="s">
        <v>226</v>
      </c>
      <c r="P268" s="63" t="s">
        <v>279</v>
      </c>
      <c r="Q268" s="62" t="s">
        <v>6</v>
      </c>
      <c r="R268" s="63" t="s">
        <v>278</v>
      </c>
      <c r="S268" s="73" t="s">
        <v>110</v>
      </c>
      <c r="T268" s="73" t="s">
        <v>191</v>
      </c>
    </row>
    <row r="269" spans="1:20" ht="17" x14ac:dyDescent="0.2">
      <c r="A269" s="64" t="s">
        <v>82</v>
      </c>
      <c r="B269" s="168">
        <f>B116*INDEX($B$222:$B$238,MATCH($A269,$A$222:$A$238,0),1)</f>
        <v>0</v>
      </c>
      <c r="C269" s="168">
        <f t="shared" ref="C269:Q269" si="161">C116*INDEX($B$222:$B$238,MATCH($A269,$A$222:$A$238,0),1)</f>
        <v>0</v>
      </c>
      <c r="D269" s="168">
        <f t="shared" si="161"/>
        <v>0</v>
      </c>
      <c r="E269" s="168">
        <f t="shared" si="161"/>
        <v>11.201799890702315</v>
      </c>
      <c r="F269" s="168">
        <f t="shared" si="161"/>
        <v>1.0183454446093012</v>
      </c>
      <c r="G269" s="168">
        <f t="shared" si="161"/>
        <v>3.0550363338279038</v>
      </c>
      <c r="H269" s="168">
        <f t="shared" si="161"/>
        <v>0</v>
      </c>
      <c r="I269" s="168">
        <f t="shared" si="161"/>
        <v>1.0183454446093012</v>
      </c>
      <c r="J269" s="168">
        <f t="shared" si="161"/>
        <v>0</v>
      </c>
      <c r="K269" s="168">
        <f t="shared" si="161"/>
        <v>0</v>
      </c>
      <c r="L269" s="168">
        <f t="shared" si="161"/>
        <v>3.0550363338279038</v>
      </c>
      <c r="M269" s="168">
        <f t="shared" si="161"/>
        <v>1.0183454446093012</v>
      </c>
      <c r="N269" s="168">
        <f t="shared" si="161"/>
        <v>0</v>
      </c>
      <c r="O269" s="168">
        <f t="shared" si="161"/>
        <v>0</v>
      </c>
      <c r="P269" s="168">
        <f t="shared" si="161"/>
        <v>0</v>
      </c>
      <c r="Q269" s="168">
        <f t="shared" si="161"/>
        <v>0</v>
      </c>
      <c r="R269" s="168">
        <f>SUM(C269:J269,L269:O269)</f>
        <v>20.366908892186025</v>
      </c>
      <c r="S269" s="41">
        <f>SUM(B269:Q269)-INDEX($B$222:$B$238,MATCH($A269,$A$222:$A$238,0),1)</f>
        <v>0</v>
      </c>
      <c r="T269" s="41">
        <f>SUM(C269:P269)</f>
        <v>20.366908892186025</v>
      </c>
    </row>
    <row r="270" spans="1:20" ht="17" x14ac:dyDescent="0.2">
      <c r="A270" s="64" t="s">
        <v>127</v>
      </c>
      <c r="B270" s="168">
        <f t="shared" ref="B270:Q270" si="162">B117*INDEX($B$222:$B$238,MATCH($A270,$A$222:$A$238,0),1)</f>
        <v>0.19004609605610839</v>
      </c>
      <c r="C270" s="168">
        <f t="shared" si="162"/>
        <v>0</v>
      </c>
      <c r="D270" s="168">
        <f t="shared" si="162"/>
        <v>0</v>
      </c>
      <c r="E270" s="168">
        <f t="shared" si="162"/>
        <v>0</v>
      </c>
      <c r="F270" s="168">
        <f t="shared" si="162"/>
        <v>0</v>
      </c>
      <c r="G270" s="168">
        <f t="shared" si="162"/>
        <v>0</v>
      </c>
      <c r="H270" s="168">
        <f t="shared" si="162"/>
        <v>0</v>
      </c>
      <c r="I270" s="168">
        <f t="shared" si="162"/>
        <v>0</v>
      </c>
      <c r="J270" s="168">
        <f t="shared" si="162"/>
        <v>0</v>
      </c>
      <c r="K270" s="168">
        <f t="shared" si="162"/>
        <v>0.57013828816832512</v>
      </c>
      <c r="L270" s="168">
        <f t="shared" si="162"/>
        <v>0</v>
      </c>
      <c r="M270" s="168">
        <f t="shared" si="162"/>
        <v>0</v>
      </c>
      <c r="N270" s="168">
        <f t="shared" si="162"/>
        <v>0</v>
      </c>
      <c r="O270" s="168">
        <f t="shared" si="162"/>
        <v>0</v>
      </c>
      <c r="P270" s="168">
        <f t="shared" si="162"/>
        <v>0</v>
      </c>
      <c r="Q270" s="168">
        <f t="shared" si="162"/>
        <v>1.1402765763366502</v>
      </c>
      <c r="R270" s="168">
        <f>SUM(C270:O270)</f>
        <v>0.57013828816832512</v>
      </c>
      <c r="S270" s="41">
        <f t="shared" ref="S270:S285" si="163">SUM(B270:Q270)-INDEX($B$222:$B$238,MATCH($A270,$A$222:$A$238,0),1)</f>
        <v>0</v>
      </c>
      <c r="T270" s="41">
        <f t="shared" ref="T270:T285" si="164">SUM(C270:P270)</f>
        <v>0.57013828816832512</v>
      </c>
    </row>
    <row r="271" spans="1:20" ht="17" x14ac:dyDescent="0.2">
      <c r="A271" s="64" t="s">
        <v>8</v>
      </c>
      <c r="B271" s="168">
        <f t="shared" ref="B271:Q271" si="165">B118*INDEX($B$222:$B$238,MATCH($A271,$A$222:$A$238,0),1)</f>
        <v>0.19364381155202359</v>
      </c>
      <c r="C271" s="168">
        <f t="shared" si="165"/>
        <v>0.38728762310404719</v>
      </c>
      <c r="D271" s="168">
        <f t="shared" si="165"/>
        <v>0</v>
      </c>
      <c r="E271" s="168">
        <f t="shared" si="165"/>
        <v>0</v>
      </c>
      <c r="F271" s="168">
        <f t="shared" si="165"/>
        <v>0</v>
      </c>
      <c r="G271" s="168">
        <f t="shared" si="165"/>
        <v>0</v>
      </c>
      <c r="H271" s="168">
        <f t="shared" si="165"/>
        <v>0</v>
      </c>
      <c r="I271" s="168">
        <f t="shared" si="165"/>
        <v>0</v>
      </c>
      <c r="J271" s="168">
        <f t="shared" si="165"/>
        <v>0</v>
      </c>
      <c r="K271" s="168">
        <f t="shared" si="165"/>
        <v>1.1618628693121416</v>
      </c>
      <c r="L271" s="168">
        <f t="shared" si="165"/>
        <v>0</v>
      </c>
      <c r="M271" s="168">
        <f t="shared" si="165"/>
        <v>0</v>
      </c>
      <c r="N271" s="168">
        <f t="shared" si="165"/>
        <v>0</v>
      </c>
      <c r="O271" s="168">
        <f t="shared" si="165"/>
        <v>0</v>
      </c>
      <c r="P271" s="168">
        <f t="shared" si="165"/>
        <v>0</v>
      </c>
      <c r="Q271" s="168">
        <f t="shared" si="165"/>
        <v>0.19364381155202354</v>
      </c>
      <c r="R271" s="168">
        <f>SUM(C271:J271,L271:O271)</f>
        <v>0.38728762310404719</v>
      </c>
      <c r="S271" s="41">
        <f t="shared" si="163"/>
        <v>0</v>
      </c>
      <c r="T271" s="41">
        <f t="shared" si="164"/>
        <v>1.5491504924161887</v>
      </c>
    </row>
    <row r="272" spans="1:20" ht="17" x14ac:dyDescent="0.2">
      <c r="A272" s="64" t="s">
        <v>19</v>
      </c>
      <c r="B272" s="168">
        <f t="shared" ref="B272:Q272" si="166">B119*INDEX($B$222:$B$238,MATCH($A272,$A$222:$A$238,0),1)</f>
        <v>0.16802864513959234</v>
      </c>
      <c r="C272" s="168">
        <f t="shared" si="166"/>
        <v>0.33605729027918468</v>
      </c>
      <c r="D272" s="168">
        <f t="shared" si="166"/>
        <v>0</v>
      </c>
      <c r="E272" s="168">
        <f t="shared" si="166"/>
        <v>0</v>
      </c>
      <c r="F272" s="168">
        <f t="shared" si="166"/>
        <v>0</v>
      </c>
      <c r="G272" s="168">
        <f t="shared" si="166"/>
        <v>0</v>
      </c>
      <c r="H272" s="168">
        <f t="shared" si="166"/>
        <v>0</v>
      </c>
      <c r="I272" s="168">
        <f t="shared" si="166"/>
        <v>0</v>
      </c>
      <c r="J272" s="168">
        <f t="shared" si="166"/>
        <v>0</v>
      </c>
      <c r="K272" s="168">
        <f t="shared" si="166"/>
        <v>1.008171870837554</v>
      </c>
      <c r="L272" s="168">
        <f t="shared" si="166"/>
        <v>0</v>
      </c>
      <c r="M272" s="168">
        <f t="shared" si="166"/>
        <v>0</v>
      </c>
      <c r="N272" s="168">
        <f t="shared" si="166"/>
        <v>0</v>
      </c>
      <c r="O272" s="168">
        <f t="shared" si="166"/>
        <v>0</v>
      </c>
      <c r="P272" s="168">
        <f t="shared" si="166"/>
        <v>0</v>
      </c>
      <c r="Q272" s="168">
        <f t="shared" si="166"/>
        <v>0.16802864513959229</v>
      </c>
      <c r="R272" s="168">
        <f t="shared" ref="R272:R282" si="167">SUM(C272:J272,L272:O272)</f>
        <v>0.33605729027918468</v>
      </c>
      <c r="S272" s="41">
        <f t="shared" si="163"/>
        <v>0</v>
      </c>
      <c r="T272" s="41">
        <f t="shared" si="164"/>
        <v>1.3442291611167387</v>
      </c>
    </row>
    <row r="273" spans="1:20" ht="17" x14ac:dyDescent="0.2">
      <c r="A273" s="64" t="s">
        <v>1</v>
      </c>
      <c r="B273" s="168">
        <f t="shared" ref="B273:Q273" si="168">B120*INDEX($B$222:$B$238,MATCH($A273,$A$222:$A$238,0),1)</f>
        <v>0</v>
      </c>
      <c r="C273" s="168">
        <f t="shared" si="168"/>
        <v>2.1148190559321778</v>
      </c>
      <c r="D273" s="168">
        <f t="shared" si="168"/>
        <v>0</v>
      </c>
      <c r="E273" s="168">
        <f t="shared" si="168"/>
        <v>0</v>
      </c>
      <c r="F273" s="168">
        <f t="shared" si="168"/>
        <v>0</v>
      </c>
      <c r="G273" s="168">
        <f t="shared" si="168"/>
        <v>0</v>
      </c>
      <c r="H273" s="168">
        <f t="shared" si="168"/>
        <v>0</v>
      </c>
      <c r="I273" s="168">
        <f t="shared" si="168"/>
        <v>0</v>
      </c>
      <c r="J273" s="168">
        <f t="shared" si="168"/>
        <v>0</v>
      </c>
      <c r="K273" s="168">
        <f t="shared" si="168"/>
        <v>0.23497989510357531</v>
      </c>
      <c r="L273" s="168">
        <f t="shared" si="168"/>
        <v>0</v>
      </c>
      <c r="M273" s="168">
        <f t="shared" si="168"/>
        <v>0</v>
      </c>
      <c r="N273" s="168">
        <f t="shared" si="168"/>
        <v>0</v>
      </c>
      <c r="O273" s="168">
        <f t="shared" si="168"/>
        <v>0</v>
      </c>
      <c r="P273" s="168">
        <f t="shared" si="168"/>
        <v>0</v>
      </c>
      <c r="Q273" s="168">
        <f t="shared" si="168"/>
        <v>0</v>
      </c>
      <c r="R273" s="168">
        <f t="shared" si="167"/>
        <v>2.1148190559321778</v>
      </c>
      <c r="S273" s="41">
        <f t="shared" si="163"/>
        <v>0</v>
      </c>
      <c r="T273" s="41">
        <f t="shared" si="164"/>
        <v>2.3497989510357531</v>
      </c>
    </row>
    <row r="274" spans="1:20" ht="17" x14ac:dyDescent="0.2">
      <c r="A274" s="64" t="s">
        <v>10</v>
      </c>
      <c r="B274" s="168">
        <f t="shared" ref="B274:Q274" si="169">B121*INDEX($B$222:$B$238,MATCH($A274,$A$222:$A$238,0),1)</f>
        <v>0</v>
      </c>
      <c r="C274" s="168">
        <f t="shared" si="169"/>
        <v>0.18075146403291681</v>
      </c>
      <c r="D274" s="168">
        <f t="shared" si="169"/>
        <v>0</v>
      </c>
      <c r="E274" s="168">
        <f t="shared" si="169"/>
        <v>0</v>
      </c>
      <c r="F274" s="168">
        <f t="shared" si="169"/>
        <v>0</v>
      </c>
      <c r="G274" s="168">
        <f t="shared" si="169"/>
        <v>0</v>
      </c>
      <c r="H274" s="168">
        <f t="shared" si="169"/>
        <v>0</v>
      </c>
      <c r="I274" s="168">
        <f t="shared" si="169"/>
        <v>0</v>
      </c>
      <c r="J274" s="168">
        <f t="shared" si="169"/>
        <v>0</v>
      </c>
      <c r="K274" s="168">
        <f t="shared" si="169"/>
        <v>0.54225439209875037</v>
      </c>
      <c r="L274" s="168">
        <f t="shared" si="169"/>
        <v>0</v>
      </c>
      <c r="M274" s="168">
        <f t="shared" si="169"/>
        <v>0</v>
      </c>
      <c r="N274" s="168">
        <f t="shared" si="169"/>
        <v>0.90375732016458399</v>
      </c>
      <c r="O274" s="168">
        <f t="shared" si="169"/>
        <v>0</v>
      </c>
      <c r="P274" s="168">
        <f t="shared" si="169"/>
        <v>0</v>
      </c>
      <c r="Q274" s="168">
        <f t="shared" si="169"/>
        <v>0.18075146403291675</v>
      </c>
      <c r="R274" s="168">
        <f t="shared" si="167"/>
        <v>1.0845087841975007</v>
      </c>
      <c r="S274" s="41">
        <f t="shared" si="163"/>
        <v>0</v>
      </c>
      <c r="T274" s="41">
        <f t="shared" si="164"/>
        <v>1.6267631762962513</v>
      </c>
    </row>
    <row r="275" spans="1:20" ht="17" x14ac:dyDescent="0.2">
      <c r="A275" s="64" t="s">
        <v>11</v>
      </c>
      <c r="B275" s="168">
        <f t="shared" ref="B275:Q275" si="170">B122*INDEX($B$222:$B$238,MATCH($A275,$A$222:$A$238,0),1)</f>
        <v>0</v>
      </c>
      <c r="C275" s="168">
        <f t="shared" si="170"/>
        <v>0.16862425775092788</v>
      </c>
      <c r="D275" s="168">
        <f t="shared" si="170"/>
        <v>0</v>
      </c>
      <c r="E275" s="168">
        <f t="shared" si="170"/>
        <v>0</v>
      </c>
      <c r="F275" s="168">
        <f t="shared" si="170"/>
        <v>0</v>
      </c>
      <c r="G275" s="168">
        <f t="shared" si="170"/>
        <v>0</v>
      </c>
      <c r="H275" s="168">
        <f t="shared" si="170"/>
        <v>0</v>
      </c>
      <c r="I275" s="168">
        <f t="shared" si="170"/>
        <v>0</v>
      </c>
      <c r="J275" s="168">
        <f t="shared" si="170"/>
        <v>0</v>
      </c>
      <c r="K275" s="168">
        <f t="shared" si="170"/>
        <v>0.50587277325278357</v>
      </c>
      <c r="L275" s="168">
        <f t="shared" si="170"/>
        <v>0</v>
      </c>
      <c r="M275" s="168">
        <f t="shared" si="170"/>
        <v>0</v>
      </c>
      <c r="N275" s="168">
        <f t="shared" si="170"/>
        <v>0</v>
      </c>
      <c r="O275" s="168">
        <f t="shared" si="170"/>
        <v>0.84312128875463932</v>
      </c>
      <c r="P275" s="168">
        <f t="shared" si="170"/>
        <v>0</v>
      </c>
      <c r="Q275" s="168">
        <f t="shared" si="170"/>
        <v>0.16862425775092782</v>
      </c>
      <c r="R275" s="168">
        <f t="shared" si="167"/>
        <v>1.0117455465055671</v>
      </c>
      <c r="S275" s="41">
        <f t="shared" si="163"/>
        <v>0</v>
      </c>
      <c r="T275" s="41">
        <f t="shared" si="164"/>
        <v>1.5176183197583508</v>
      </c>
    </row>
    <row r="276" spans="1:20" ht="17" x14ac:dyDescent="0.2">
      <c r="A276" s="64" t="s">
        <v>25</v>
      </c>
      <c r="B276" s="168">
        <f t="shared" ref="B276:Q276" si="171">B123*INDEX($B$222:$B$238,MATCH($A276,$A$222:$A$238,0),1)</f>
        <v>0</v>
      </c>
      <c r="C276" s="168">
        <f t="shared" si="171"/>
        <v>0.17315830917933184</v>
      </c>
      <c r="D276" s="168">
        <f t="shared" si="171"/>
        <v>0</v>
      </c>
      <c r="E276" s="168">
        <f t="shared" si="171"/>
        <v>0</v>
      </c>
      <c r="F276" s="168">
        <f t="shared" si="171"/>
        <v>0</v>
      </c>
      <c r="G276" s="168">
        <f t="shared" si="171"/>
        <v>0</v>
      </c>
      <c r="H276" s="168">
        <f t="shared" si="171"/>
        <v>0</v>
      </c>
      <c r="I276" s="168">
        <f t="shared" si="171"/>
        <v>0</v>
      </c>
      <c r="J276" s="168">
        <f t="shared" si="171"/>
        <v>0</v>
      </c>
      <c r="K276" s="168">
        <f t="shared" si="171"/>
        <v>0.51947492753799551</v>
      </c>
      <c r="L276" s="168">
        <f t="shared" si="171"/>
        <v>0</v>
      </c>
      <c r="M276" s="168">
        <f t="shared" si="171"/>
        <v>0</v>
      </c>
      <c r="N276" s="168">
        <f t="shared" si="171"/>
        <v>0</v>
      </c>
      <c r="O276" s="168">
        <f t="shared" si="171"/>
        <v>0.86579154589665919</v>
      </c>
      <c r="P276" s="168">
        <f t="shared" si="171"/>
        <v>0</v>
      </c>
      <c r="Q276" s="168">
        <f t="shared" si="171"/>
        <v>0.17315830917933181</v>
      </c>
      <c r="R276" s="168">
        <f t="shared" si="167"/>
        <v>1.038949855075991</v>
      </c>
      <c r="S276" s="41">
        <f t="shared" si="163"/>
        <v>0</v>
      </c>
      <c r="T276" s="41">
        <f t="shared" si="164"/>
        <v>1.5584247826139865</v>
      </c>
    </row>
    <row r="277" spans="1:20" ht="17" x14ac:dyDescent="0.2">
      <c r="A277" s="64" t="s">
        <v>7</v>
      </c>
      <c r="B277" s="168">
        <f t="shared" ref="B277:Q277" si="172">B124*INDEX($B$222:$B$238,MATCH($A277,$A$222:$A$238,0),1)</f>
        <v>0</v>
      </c>
      <c r="C277" s="168">
        <f t="shared" si="172"/>
        <v>0.88592339671642617</v>
      </c>
      <c r="D277" s="168">
        <f t="shared" si="172"/>
        <v>0</v>
      </c>
      <c r="E277" s="168">
        <f t="shared" si="172"/>
        <v>0</v>
      </c>
      <c r="F277" s="168">
        <f t="shared" si="172"/>
        <v>0</v>
      </c>
      <c r="G277" s="168">
        <f t="shared" si="172"/>
        <v>0</v>
      </c>
      <c r="H277" s="168">
        <f t="shared" si="172"/>
        <v>0</v>
      </c>
      <c r="I277" s="168">
        <f t="shared" si="172"/>
        <v>0</v>
      </c>
      <c r="J277" s="168">
        <f t="shared" si="172"/>
        <v>0</v>
      </c>
      <c r="K277" s="168">
        <f t="shared" si="172"/>
        <v>0</v>
      </c>
      <c r="L277" s="168">
        <f t="shared" si="172"/>
        <v>0</v>
      </c>
      <c r="M277" s="168">
        <f t="shared" si="172"/>
        <v>0</v>
      </c>
      <c r="N277" s="168">
        <f t="shared" si="172"/>
        <v>0</v>
      </c>
      <c r="O277" s="168">
        <f t="shared" si="172"/>
        <v>0</v>
      </c>
      <c r="P277" s="168">
        <f t="shared" si="172"/>
        <v>0</v>
      </c>
      <c r="Q277" s="168">
        <f t="shared" si="172"/>
        <v>0.88592339671642617</v>
      </c>
      <c r="R277" s="168">
        <f t="shared" si="167"/>
        <v>0.88592339671642617</v>
      </c>
      <c r="S277" s="41">
        <f t="shared" si="163"/>
        <v>0</v>
      </c>
      <c r="T277" s="41">
        <f t="shared" si="164"/>
        <v>0.88592339671642617</v>
      </c>
    </row>
    <row r="278" spans="1:20" ht="17" x14ac:dyDescent="0.2">
      <c r="A278" s="64" t="s">
        <v>2</v>
      </c>
      <c r="B278" s="168">
        <f t="shared" ref="B278:Q278" si="173">B125*INDEX($B$222:$B$238,MATCH($A278,$A$222:$A$238,0),1)</f>
        <v>0</v>
      </c>
      <c r="C278" s="168">
        <f t="shared" si="173"/>
        <v>1.0678902522422966</v>
      </c>
      <c r="D278" s="168">
        <f t="shared" si="173"/>
        <v>0.19069468790041011</v>
      </c>
      <c r="E278" s="168">
        <f t="shared" si="173"/>
        <v>0.76277875160164044</v>
      </c>
      <c r="F278" s="168">
        <f t="shared" si="173"/>
        <v>0</v>
      </c>
      <c r="G278" s="168">
        <f t="shared" si="173"/>
        <v>0.57208406370123022</v>
      </c>
      <c r="H278" s="168">
        <f t="shared" si="173"/>
        <v>0.26697256306057415</v>
      </c>
      <c r="I278" s="168">
        <f t="shared" si="173"/>
        <v>0.19069468790041011</v>
      </c>
      <c r="J278" s="168">
        <f t="shared" si="173"/>
        <v>0.76277875160164044</v>
      </c>
      <c r="K278" s="168">
        <f t="shared" si="173"/>
        <v>0</v>
      </c>
      <c r="L278" s="168">
        <f t="shared" si="173"/>
        <v>0</v>
      </c>
      <c r="M278" s="168">
        <f t="shared" si="173"/>
        <v>0</v>
      </c>
      <c r="N278" s="168">
        <f t="shared" si="173"/>
        <v>0</v>
      </c>
      <c r="O278" s="168">
        <f t="shared" si="173"/>
        <v>0</v>
      </c>
      <c r="P278" s="168">
        <f t="shared" si="173"/>
        <v>0</v>
      </c>
      <c r="Q278" s="168">
        <f t="shared" si="173"/>
        <v>0</v>
      </c>
      <c r="R278" s="168">
        <f t="shared" si="167"/>
        <v>3.8138937580082022</v>
      </c>
      <c r="S278" s="41">
        <f t="shared" si="163"/>
        <v>0</v>
      </c>
      <c r="T278" s="41">
        <f t="shared" si="164"/>
        <v>3.8138937580082022</v>
      </c>
    </row>
    <row r="279" spans="1:20" ht="17" x14ac:dyDescent="0.2">
      <c r="A279" s="64" t="s">
        <v>30</v>
      </c>
      <c r="B279" s="168">
        <f t="shared" ref="B279:Q279" si="174">B126*INDEX($B$222:$B$238,MATCH($A279,$A$222:$A$238,0),1)</f>
        <v>5.7769593639603573E-2</v>
      </c>
      <c r="C279" s="168">
        <f t="shared" si="174"/>
        <v>0</v>
      </c>
      <c r="D279" s="168">
        <f t="shared" si="174"/>
        <v>0</v>
      </c>
      <c r="E279" s="168">
        <f t="shared" si="174"/>
        <v>0.17330878091881069</v>
      </c>
      <c r="F279" s="168">
        <f t="shared" si="174"/>
        <v>0</v>
      </c>
      <c r="G279" s="168">
        <f t="shared" si="174"/>
        <v>0</v>
      </c>
      <c r="H279" s="168">
        <f t="shared" si="174"/>
        <v>0</v>
      </c>
      <c r="I279" s="168">
        <f t="shared" si="174"/>
        <v>0</v>
      </c>
      <c r="J279" s="168">
        <f t="shared" si="174"/>
        <v>0.46215674911682858</v>
      </c>
      <c r="K279" s="168">
        <f t="shared" si="174"/>
        <v>0</v>
      </c>
      <c r="L279" s="168">
        <f t="shared" si="174"/>
        <v>5.7769593639603573E-2</v>
      </c>
      <c r="M279" s="168">
        <f t="shared" si="174"/>
        <v>0</v>
      </c>
      <c r="N279" s="168">
        <f t="shared" si="174"/>
        <v>0</v>
      </c>
      <c r="O279" s="168">
        <f t="shared" si="174"/>
        <v>0</v>
      </c>
      <c r="P279" s="168">
        <f t="shared" si="174"/>
        <v>0</v>
      </c>
      <c r="Q279" s="168">
        <f t="shared" si="174"/>
        <v>0.40438715547722481</v>
      </c>
      <c r="R279" s="168">
        <f t="shared" si="167"/>
        <v>0.69323512367524287</v>
      </c>
      <c r="S279" s="41">
        <f t="shared" si="163"/>
        <v>0</v>
      </c>
      <c r="T279" s="41">
        <f t="shared" si="164"/>
        <v>0.69323512367524287</v>
      </c>
    </row>
    <row r="280" spans="1:20" ht="17" x14ac:dyDescent="0.2">
      <c r="A280" s="64" t="s">
        <v>31</v>
      </c>
      <c r="B280" s="168">
        <f t="shared" ref="B280:Q280" si="175">B127*INDEX($B$222:$B$238,MATCH($A280,$A$222:$A$238,0),1)</f>
        <v>0</v>
      </c>
      <c r="C280" s="168">
        <f t="shared" si="175"/>
        <v>0.686589184727742</v>
      </c>
      <c r="D280" s="168">
        <f t="shared" si="175"/>
        <v>0</v>
      </c>
      <c r="E280" s="168">
        <f t="shared" si="175"/>
        <v>0</v>
      </c>
      <c r="F280" s="168">
        <f t="shared" si="175"/>
        <v>0</v>
      </c>
      <c r="G280" s="168">
        <f t="shared" si="175"/>
        <v>0</v>
      </c>
      <c r="H280" s="168">
        <f t="shared" si="175"/>
        <v>0</v>
      </c>
      <c r="I280" s="168">
        <f t="shared" si="175"/>
        <v>0</v>
      </c>
      <c r="J280" s="168">
        <f t="shared" si="175"/>
        <v>0</v>
      </c>
      <c r="K280" s="168">
        <f t="shared" si="175"/>
        <v>9.8084169246820285E-2</v>
      </c>
      <c r="L280" s="168">
        <f t="shared" si="175"/>
        <v>0</v>
      </c>
      <c r="M280" s="168">
        <f t="shared" si="175"/>
        <v>0</v>
      </c>
      <c r="N280" s="168">
        <f t="shared" si="175"/>
        <v>0</v>
      </c>
      <c r="O280" s="168">
        <f t="shared" si="175"/>
        <v>0</v>
      </c>
      <c r="P280" s="168">
        <f t="shared" si="175"/>
        <v>0</v>
      </c>
      <c r="Q280" s="168">
        <f t="shared" si="175"/>
        <v>0.19616833849364063</v>
      </c>
      <c r="R280" s="168">
        <f t="shared" si="167"/>
        <v>0.686589184727742</v>
      </c>
      <c r="S280" s="41">
        <f t="shared" si="163"/>
        <v>0</v>
      </c>
      <c r="T280" s="41">
        <f t="shared" si="164"/>
        <v>0.78467335397456228</v>
      </c>
    </row>
    <row r="281" spans="1:20" ht="17" x14ac:dyDescent="0.2">
      <c r="A281" s="64" t="s">
        <v>122</v>
      </c>
      <c r="B281" s="168">
        <f t="shared" ref="B281:Q281" si="176">B128*INDEX($B$222:$B$238,MATCH($A281,$A$222:$A$238,0),1)</f>
        <v>5.906203232650975E-2</v>
      </c>
      <c r="C281" s="168">
        <f t="shared" si="176"/>
        <v>0</v>
      </c>
      <c r="D281" s="168">
        <f t="shared" si="176"/>
        <v>0.1181240646530195</v>
      </c>
      <c r="E281" s="168">
        <f t="shared" si="176"/>
        <v>0.20671711314278413</v>
      </c>
      <c r="F281" s="168">
        <f t="shared" si="176"/>
        <v>0</v>
      </c>
      <c r="G281" s="168">
        <f t="shared" si="176"/>
        <v>0.20671711314278413</v>
      </c>
      <c r="H281" s="168">
        <f t="shared" si="176"/>
        <v>0</v>
      </c>
      <c r="I281" s="168">
        <f t="shared" si="176"/>
        <v>0</v>
      </c>
      <c r="J281" s="168">
        <f t="shared" si="176"/>
        <v>0</v>
      </c>
      <c r="K281" s="168">
        <f t="shared" si="176"/>
        <v>0</v>
      </c>
      <c r="L281" s="168">
        <f t="shared" si="176"/>
        <v>0</v>
      </c>
      <c r="M281" s="168">
        <f t="shared" si="176"/>
        <v>0</v>
      </c>
      <c r="N281" s="168">
        <f t="shared" si="176"/>
        <v>0</v>
      </c>
      <c r="O281" s="168">
        <f t="shared" si="176"/>
        <v>0</v>
      </c>
      <c r="P281" s="168">
        <f t="shared" si="176"/>
        <v>0</v>
      </c>
      <c r="Q281" s="168">
        <f t="shared" si="176"/>
        <v>0</v>
      </c>
      <c r="R281" s="168">
        <f t="shared" si="167"/>
        <v>0.53155829093858775</v>
      </c>
      <c r="S281" s="41">
        <f t="shared" si="163"/>
        <v>0</v>
      </c>
      <c r="T281" s="41">
        <f t="shared" si="164"/>
        <v>0.53155829093858775</v>
      </c>
    </row>
    <row r="282" spans="1:20" ht="17" x14ac:dyDescent="0.2">
      <c r="A282" s="64" t="s">
        <v>32</v>
      </c>
      <c r="B282" s="168">
        <f t="shared" ref="B282:Q282" si="177">B129*INDEX($B$222:$B$238,MATCH($A282,$A$222:$A$238,0),1)</f>
        <v>0</v>
      </c>
      <c r="C282" s="168">
        <f t="shared" si="177"/>
        <v>1.2173012794924596</v>
      </c>
      <c r="D282" s="168">
        <f t="shared" si="177"/>
        <v>0</v>
      </c>
      <c r="E282" s="168">
        <f t="shared" si="177"/>
        <v>0.34780036556927418</v>
      </c>
      <c r="F282" s="168">
        <f t="shared" si="177"/>
        <v>0</v>
      </c>
      <c r="G282" s="168">
        <f t="shared" si="177"/>
        <v>0.52170054835391122</v>
      </c>
      <c r="H282" s="168">
        <f t="shared" si="177"/>
        <v>0</v>
      </c>
      <c r="I282" s="168">
        <f t="shared" si="177"/>
        <v>0.34780036556927418</v>
      </c>
      <c r="J282" s="168">
        <f t="shared" si="177"/>
        <v>0.34780036556927418</v>
      </c>
      <c r="K282" s="168">
        <f t="shared" si="177"/>
        <v>0.34780036556927418</v>
      </c>
      <c r="L282" s="168">
        <f t="shared" si="177"/>
        <v>0</v>
      </c>
      <c r="M282" s="168">
        <f t="shared" si="177"/>
        <v>0</v>
      </c>
      <c r="N282" s="168">
        <f t="shared" si="177"/>
        <v>0</v>
      </c>
      <c r="O282" s="168">
        <f t="shared" si="177"/>
        <v>0</v>
      </c>
      <c r="P282" s="168">
        <f t="shared" si="177"/>
        <v>0</v>
      </c>
      <c r="Q282" s="168">
        <f t="shared" si="177"/>
        <v>0.34780036556927446</v>
      </c>
      <c r="R282" s="168">
        <f t="shared" si="167"/>
        <v>2.7824029245541935</v>
      </c>
      <c r="S282" s="41">
        <f t="shared" si="163"/>
        <v>0</v>
      </c>
      <c r="T282" s="41">
        <f t="shared" si="164"/>
        <v>3.1302032901234678</v>
      </c>
    </row>
    <row r="283" spans="1:20" ht="34" x14ac:dyDescent="0.2">
      <c r="A283" s="64" t="s">
        <v>105</v>
      </c>
      <c r="B283" s="168">
        <f t="shared" ref="B283:Q283" si="178">B130*INDEX($B$222:$B$238,MATCH($A283,$A$222:$A$238,0),1)</f>
        <v>0</v>
      </c>
      <c r="C283" s="168">
        <f t="shared" si="178"/>
        <v>0</v>
      </c>
      <c r="D283" s="168">
        <f t="shared" si="178"/>
        <v>0</v>
      </c>
      <c r="E283" s="168">
        <f t="shared" si="178"/>
        <v>0</v>
      </c>
      <c r="F283" s="168">
        <f t="shared" si="178"/>
        <v>0</v>
      </c>
      <c r="G283" s="168">
        <f t="shared" si="178"/>
        <v>0</v>
      </c>
      <c r="H283" s="168">
        <f t="shared" si="178"/>
        <v>0</v>
      </c>
      <c r="I283" s="168">
        <f t="shared" si="178"/>
        <v>0</v>
      </c>
      <c r="J283" s="168">
        <f t="shared" si="178"/>
        <v>0</v>
      </c>
      <c r="K283" s="168">
        <f t="shared" si="178"/>
        <v>0</v>
      </c>
      <c r="L283" s="168">
        <f t="shared" si="178"/>
        <v>0</v>
      </c>
      <c r="M283" s="168">
        <f t="shared" si="178"/>
        <v>0</v>
      </c>
      <c r="N283" s="168">
        <f t="shared" si="178"/>
        <v>0</v>
      </c>
      <c r="O283" s="168">
        <f t="shared" si="178"/>
        <v>0</v>
      </c>
      <c r="P283" s="168">
        <f t="shared" si="178"/>
        <v>0.71900442541901188</v>
      </c>
      <c r="Q283" s="168">
        <f t="shared" si="178"/>
        <v>0.16865535904890397</v>
      </c>
      <c r="R283" s="168">
        <f>SUM(C283:J283,L283:P283)</f>
        <v>0.71900442541901188</v>
      </c>
      <c r="S283" s="41">
        <f t="shared" si="163"/>
        <v>0</v>
      </c>
      <c r="T283" s="41">
        <f t="shared" si="164"/>
        <v>0.71900442541901188</v>
      </c>
    </row>
    <row r="284" spans="1:20" x14ac:dyDescent="0.2">
      <c r="A284" s="40" t="s">
        <v>576</v>
      </c>
      <c r="B284" s="168">
        <f t="shared" ref="B284:Q284" si="179">B131*INDEX($B$222:$B$238,MATCH($A284,$A$222:$A$238,0),1)</f>
        <v>0.18968011563510845</v>
      </c>
      <c r="C284" s="168">
        <f t="shared" si="179"/>
        <v>0</v>
      </c>
      <c r="D284" s="168">
        <f t="shared" si="179"/>
        <v>0</v>
      </c>
      <c r="E284" s="168">
        <f t="shared" si="179"/>
        <v>0</v>
      </c>
      <c r="F284" s="168">
        <f t="shared" si="179"/>
        <v>0</v>
      </c>
      <c r="G284" s="168">
        <f t="shared" si="179"/>
        <v>0</v>
      </c>
      <c r="H284" s="168">
        <f t="shared" si="179"/>
        <v>0</v>
      </c>
      <c r="I284" s="168">
        <f t="shared" si="179"/>
        <v>0</v>
      </c>
      <c r="J284" s="168">
        <f t="shared" si="179"/>
        <v>0</v>
      </c>
      <c r="K284" s="168">
        <f t="shared" si="179"/>
        <v>0.56904034690532523</v>
      </c>
      <c r="L284" s="168">
        <f t="shared" si="179"/>
        <v>0</v>
      </c>
      <c r="M284" s="168">
        <f t="shared" si="179"/>
        <v>0</v>
      </c>
      <c r="N284" s="168">
        <f t="shared" si="179"/>
        <v>0</v>
      </c>
      <c r="O284" s="168">
        <f t="shared" si="179"/>
        <v>0</v>
      </c>
      <c r="P284" s="168">
        <f t="shared" si="179"/>
        <v>0</v>
      </c>
      <c r="Q284" s="168">
        <f t="shared" si="179"/>
        <v>1.1380806938106505</v>
      </c>
      <c r="R284" s="168">
        <f t="shared" ref="R284:R285" si="180">SUM(C284:J284,L284:P284)</f>
        <v>0</v>
      </c>
      <c r="S284" s="41">
        <f t="shared" si="163"/>
        <v>0</v>
      </c>
      <c r="T284" s="41">
        <f t="shared" si="164"/>
        <v>0.56904034690532523</v>
      </c>
    </row>
    <row r="285" spans="1:20" x14ac:dyDescent="0.2">
      <c r="A285" s="40" t="s">
        <v>575</v>
      </c>
      <c r="B285" s="168">
        <f t="shared" ref="B285:Q285" si="181">B132*INDEX($B$222:$B$238,MATCH($A285,$A$222:$A$238,0),1)</f>
        <v>8.2613986220050659E-2</v>
      </c>
      <c r="C285" s="168">
        <f t="shared" si="181"/>
        <v>0</v>
      </c>
      <c r="D285" s="168">
        <f t="shared" si="181"/>
        <v>0</v>
      </c>
      <c r="E285" s="168">
        <f t="shared" si="181"/>
        <v>0</v>
      </c>
      <c r="F285" s="168">
        <f t="shared" si="181"/>
        <v>0</v>
      </c>
      <c r="G285" s="168">
        <f t="shared" si="181"/>
        <v>0</v>
      </c>
      <c r="H285" s="168">
        <f t="shared" si="181"/>
        <v>0</v>
      </c>
      <c r="I285" s="168">
        <f t="shared" si="181"/>
        <v>0</v>
      </c>
      <c r="J285" s="168">
        <f t="shared" si="181"/>
        <v>0</v>
      </c>
      <c r="K285" s="168">
        <f t="shared" si="181"/>
        <v>0.24784195866015193</v>
      </c>
      <c r="L285" s="168">
        <f t="shared" si="181"/>
        <v>0</v>
      </c>
      <c r="M285" s="168">
        <f t="shared" si="181"/>
        <v>0</v>
      </c>
      <c r="N285" s="168">
        <f t="shared" si="181"/>
        <v>0</v>
      </c>
      <c r="O285" s="168">
        <f t="shared" si="181"/>
        <v>0</v>
      </c>
      <c r="P285" s="168">
        <f t="shared" si="181"/>
        <v>0</v>
      </c>
      <c r="Q285" s="168">
        <f t="shared" si="181"/>
        <v>0.49568391732030387</v>
      </c>
      <c r="R285" s="168">
        <f t="shared" si="180"/>
        <v>0</v>
      </c>
      <c r="S285" s="41">
        <f t="shared" si="163"/>
        <v>0</v>
      </c>
      <c r="T285" s="41">
        <f t="shared" si="164"/>
        <v>0.24784195866015193</v>
      </c>
    </row>
    <row r="286" spans="1:20" x14ac:dyDescent="0.2">
      <c r="A286" t="s">
        <v>234</v>
      </c>
    </row>
    <row r="288" spans="1:20" x14ac:dyDescent="0.2">
      <c r="A288" s="68" t="s">
        <v>231</v>
      </c>
    </row>
    <row r="289" spans="1:21" ht="68" x14ac:dyDescent="0.2">
      <c r="A289" s="62" t="s">
        <v>212</v>
      </c>
      <c r="B289" s="63" t="s">
        <v>213</v>
      </c>
      <c r="C289" s="63" t="s">
        <v>215</v>
      </c>
      <c r="D289" s="63" t="s">
        <v>216</v>
      </c>
      <c r="E289" s="63" t="s">
        <v>217</v>
      </c>
      <c r="F289" s="63" t="s">
        <v>218</v>
      </c>
      <c r="G289" s="63" t="s">
        <v>219</v>
      </c>
      <c r="H289" s="63" t="s">
        <v>302</v>
      </c>
      <c r="I289" s="63" t="s">
        <v>220</v>
      </c>
      <c r="J289" s="63" t="s">
        <v>221</v>
      </c>
      <c r="K289" s="63" t="s">
        <v>222</v>
      </c>
      <c r="L289" s="63" t="s">
        <v>223</v>
      </c>
      <c r="M289" s="63" t="s">
        <v>224</v>
      </c>
      <c r="N289" s="63" t="s">
        <v>225</v>
      </c>
      <c r="O289" s="63" t="s">
        <v>226</v>
      </c>
      <c r="P289" s="63" t="s">
        <v>279</v>
      </c>
      <c r="Q289" s="62" t="s">
        <v>6</v>
      </c>
      <c r="R289" s="63" t="s">
        <v>278</v>
      </c>
      <c r="S289" s="73" t="s">
        <v>110</v>
      </c>
      <c r="T289" s="73" t="s">
        <v>191</v>
      </c>
      <c r="U289" s="176"/>
    </row>
    <row r="290" spans="1:21" ht="17" x14ac:dyDescent="0.2">
      <c r="A290" s="64" t="s">
        <v>82</v>
      </c>
      <c r="B290" s="168">
        <f>B137*INDEX($B$222:$B$238,MATCH($A290,$A$222:$A$238,0),1)</f>
        <v>0</v>
      </c>
      <c r="C290" s="168">
        <f t="shared" ref="C290:Q290" si="182">C137*INDEX($B$222:$B$238,MATCH($A290,$A$222:$A$238,0),1)</f>
        <v>0</v>
      </c>
      <c r="D290" s="168">
        <f t="shared" si="182"/>
        <v>0</v>
      </c>
      <c r="E290" s="168">
        <f t="shared" si="182"/>
        <v>10.183454446093013</v>
      </c>
      <c r="F290" s="168">
        <f t="shared" si="182"/>
        <v>1.0183454446093012</v>
      </c>
      <c r="G290" s="168">
        <f t="shared" si="182"/>
        <v>3.4623745116716247</v>
      </c>
      <c r="H290" s="168">
        <f t="shared" si="182"/>
        <v>0</v>
      </c>
      <c r="I290" s="168">
        <f t="shared" si="182"/>
        <v>1.0183454446093012</v>
      </c>
      <c r="J290" s="168">
        <f t="shared" si="182"/>
        <v>0</v>
      </c>
      <c r="K290" s="168">
        <f t="shared" si="182"/>
        <v>0</v>
      </c>
      <c r="L290" s="168">
        <f t="shared" si="182"/>
        <v>3.6660436005934844</v>
      </c>
      <c r="M290" s="168">
        <f t="shared" si="182"/>
        <v>1.0183454446093012</v>
      </c>
      <c r="N290" s="168">
        <f t="shared" si="182"/>
        <v>0</v>
      </c>
      <c r="O290" s="168">
        <f t="shared" si="182"/>
        <v>0</v>
      </c>
      <c r="P290" s="168">
        <f t="shared" si="182"/>
        <v>0</v>
      </c>
      <c r="Q290" s="168">
        <f t="shared" si="182"/>
        <v>0</v>
      </c>
      <c r="R290" s="168">
        <f>SUM(C290:J290,L290:O290)</f>
        <v>20.366908892186025</v>
      </c>
      <c r="S290" s="41">
        <f>SUM(B290:Q290)-INDEX($B$222:$B$238,MATCH($A290,$A$222:$A$238,0),1)</f>
        <v>0</v>
      </c>
      <c r="T290" s="41">
        <f>SUM(C290:P290)</f>
        <v>20.366908892186025</v>
      </c>
      <c r="U290" s="11"/>
    </row>
    <row r="291" spans="1:21" ht="17" x14ac:dyDescent="0.2">
      <c r="A291" s="64" t="s">
        <v>127</v>
      </c>
      <c r="B291" s="168">
        <f t="shared" ref="B291:Q291" si="183">B138*INDEX($B$222:$B$238,MATCH($A291,$A$222:$A$238,0),1)</f>
        <v>0.19004609605610839</v>
      </c>
      <c r="C291" s="168">
        <f t="shared" si="183"/>
        <v>0</v>
      </c>
      <c r="D291" s="168">
        <f t="shared" si="183"/>
        <v>0</v>
      </c>
      <c r="E291" s="168">
        <f t="shared" si="183"/>
        <v>0</v>
      </c>
      <c r="F291" s="168">
        <f t="shared" si="183"/>
        <v>0</v>
      </c>
      <c r="G291" s="168">
        <f t="shared" si="183"/>
        <v>0</v>
      </c>
      <c r="H291" s="168">
        <f t="shared" si="183"/>
        <v>0</v>
      </c>
      <c r="I291" s="168">
        <f t="shared" si="183"/>
        <v>0</v>
      </c>
      <c r="J291" s="168">
        <f t="shared" si="183"/>
        <v>0</v>
      </c>
      <c r="K291" s="168">
        <f t="shared" si="183"/>
        <v>1.7104148645049755</v>
      </c>
      <c r="L291" s="168">
        <f t="shared" si="183"/>
        <v>0</v>
      </c>
      <c r="M291" s="168">
        <f t="shared" si="183"/>
        <v>0</v>
      </c>
      <c r="N291" s="168">
        <f t="shared" si="183"/>
        <v>0</v>
      </c>
      <c r="O291" s="168">
        <f t="shared" si="183"/>
        <v>0</v>
      </c>
      <c r="P291" s="168">
        <f t="shared" si="183"/>
        <v>0</v>
      </c>
      <c r="Q291" s="168">
        <f t="shared" si="183"/>
        <v>0</v>
      </c>
      <c r="R291" s="168">
        <f>SUM(C291:O291)</f>
        <v>1.7104148645049755</v>
      </c>
      <c r="S291" s="41">
        <f t="shared" ref="S291:S306" si="184">SUM(B291:Q291)-INDEX($B$222:$B$238,MATCH($A291,$A$222:$A$238,0),1)</f>
        <v>0</v>
      </c>
      <c r="T291" s="41">
        <f t="shared" ref="T291:T306" si="185">SUM(C291:P291)</f>
        <v>1.7104148645049755</v>
      </c>
      <c r="U291" s="11"/>
    </row>
    <row r="292" spans="1:21" ht="17" x14ac:dyDescent="0.2">
      <c r="A292" s="64" t="s">
        <v>8</v>
      </c>
      <c r="B292" s="168">
        <f t="shared" ref="B292:Q292" si="186">B139*INDEX($B$222:$B$238,MATCH($A292,$A$222:$A$238,0),1)</f>
        <v>0.19364381155202359</v>
      </c>
      <c r="C292" s="168">
        <f t="shared" si="186"/>
        <v>0.48410952888005898</v>
      </c>
      <c r="D292" s="168">
        <f t="shared" si="186"/>
        <v>0</v>
      </c>
      <c r="E292" s="168">
        <f t="shared" si="186"/>
        <v>0</v>
      </c>
      <c r="F292" s="168">
        <f t="shared" si="186"/>
        <v>0</v>
      </c>
      <c r="G292" s="168">
        <f t="shared" si="186"/>
        <v>0</v>
      </c>
      <c r="H292" s="168">
        <f t="shared" si="186"/>
        <v>0</v>
      </c>
      <c r="I292" s="168">
        <f t="shared" si="186"/>
        <v>0</v>
      </c>
      <c r="J292" s="168">
        <f t="shared" si="186"/>
        <v>0</v>
      </c>
      <c r="K292" s="168">
        <f t="shared" si="186"/>
        <v>1.2586847750881534</v>
      </c>
      <c r="L292" s="168">
        <f t="shared" si="186"/>
        <v>0</v>
      </c>
      <c r="M292" s="168">
        <f t="shared" si="186"/>
        <v>0</v>
      </c>
      <c r="N292" s="168">
        <f t="shared" si="186"/>
        <v>0</v>
      </c>
      <c r="O292" s="168">
        <f t="shared" si="186"/>
        <v>0</v>
      </c>
      <c r="P292" s="168">
        <f t="shared" si="186"/>
        <v>0</v>
      </c>
      <c r="Q292" s="168">
        <f t="shared" si="186"/>
        <v>0</v>
      </c>
      <c r="R292" s="168">
        <f>SUM(C292:J292,L292:O292)</f>
        <v>0.48410952888005898</v>
      </c>
      <c r="S292" s="41">
        <f t="shared" si="184"/>
        <v>0</v>
      </c>
      <c r="T292" s="41">
        <f t="shared" si="185"/>
        <v>1.7427943039682123</v>
      </c>
      <c r="U292" s="11"/>
    </row>
    <row r="293" spans="1:21" ht="17" x14ac:dyDescent="0.2">
      <c r="A293" s="64" t="s">
        <v>19</v>
      </c>
      <c r="B293" s="168">
        <f t="shared" ref="B293:Q293" si="187">B140*INDEX($B$222:$B$238,MATCH($A293,$A$222:$A$238,0),1)</f>
        <v>0.16802864513959234</v>
      </c>
      <c r="C293" s="168">
        <f t="shared" si="187"/>
        <v>0.42007161284898081</v>
      </c>
      <c r="D293" s="168">
        <f t="shared" si="187"/>
        <v>0</v>
      </c>
      <c r="E293" s="168">
        <f t="shared" si="187"/>
        <v>0</v>
      </c>
      <c r="F293" s="168">
        <f t="shared" si="187"/>
        <v>0</v>
      </c>
      <c r="G293" s="168">
        <f t="shared" si="187"/>
        <v>0</v>
      </c>
      <c r="H293" s="168">
        <f t="shared" si="187"/>
        <v>0</v>
      </c>
      <c r="I293" s="168">
        <f t="shared" si="187"/>
        <v>0</v>
      </c>
      <c r="J293" s="168">
        <f t="shared" si="187"/>
        <v>0</v>
      </c>
      <c r="K293" s="168">
        <f t="shared" si="187"/>
        <v>1.0921861934073502</v>
      </c>
      <c r="L293" s="168">
        <f t="shared" si="187"/>
        <v>0</v>
      </c>
      <c r="M293" s="168">
        <f t="shared" si="187"/>
        <v>0</v>
      </c>
      <c r="N293" s="168">
        <f t="shared" si="187"/>
        <v>0</v>
      </c>
      <c r="O293" s="168">
        <f t="shared" si="187"/>
        <v>0</v>
      </c>
      <c r="P293" s="168">
        <f t="shared" si="187"/>
        <v>0</v>
      </c>
      <c r="Q293" s="168">
        <f t="shared" si="187"/>
        <v>0</v>
      </c>
      <c r="R293" s="168">
        <f t="shared" ref="R293:R303" si="188">SUM(C293:J293,L293:O293)</f>
        <v>0.42007161284898081</v>
      </c>
      <c r="S293" s="41">
        <f t="shared" si="184"/>
        <v>0</v>
      </c>
      <c r="T293" s="41">
        <f t="shared" si="185"/>
        <v>1.512257806256331</v>
      </c>
      <c r="U293" s="11"/>
    </row>
    <row r="294" spans="1:21" ht="17" x14ac:dyDescent="0.2">
      <c r="A294" s="64" t="s">
        <v>1</v>
      </c>
      <c r="B294" s="168">
        <f t="shared" ref="B294:Q294" si="189">B141*INDEX($B$222:$B$238,MATCH($A294,$A$222:$A$238,0),1)</f>
        <v>0</v>
      </c>
      <c r="C294" s="168">
        <f t="shared" si="189"/>
        <v>2.1148190559321778</v>
      </c>
      <c r="D294" s="168">
        <f t="shared" si="189"/>
        <v>0</v>
      </c>
      <c r="E294" s="168">
        <f t="shared" si="189"/>
        <v>0</v>
      </c>
      <c r="F294" s="168">
        <f t="shared" si="189"/>
        <v>0</v>
      </c>
      <c r="G294" s="168">
        <f t="shared" si="189"/>
        <v>0</v>
      </c>
      <c r="H294" s="168">
        <f t="shared" si="189"/>
        <v>0</v>
      </c>
      <c r="I294" s="168">
        <f t="shared" si="189"/>
        <v>0</v>
      </c>
      <c r="J294" s="168">
        <f t="shared" si="189"/>
        <v>0</v>
      </c>
      <c r="K294" s="168">
        <f t="shared" si="189"/>
        <v>0.23497989510357531</v>
      </c>
      <c r="L294" s="168">
        <f t="shared" si="189"/>
        <v>0</v>
      </c>
      <c r="M294" s="168">
        <f t="shared" si="189"/>
        <v>0</v>
      </c>
      <c r="N294" s="168">
        <f t="shared" si="189"/>
        <v>0</v>
      </c>
      <c r="O294" s="168">
        <f t="shared" si="189"/>
        <v>0</v>
      </c>
      <c r="P294" s="168">
        <f t="shared" si="189"/>
        <v>0</v>
      </c>
      <c r="Q294" s="168">
        <f t="shared" si="189"/>
        <v>0</v>
      </c>
      <c r="R294" s="168">
        <f t="shared" si="188"/>
        <v>2.1148190559321778</v>
      </c>
      <c r="S294" s="41">
        <f t="shared" si="184"/>
        <v>0</v>
      </c>
      <c r="T294" s="41">
        <f t="shared" si="185"/>
        <v>2.3497989510357531</v>
      </c>
      <c r="U294" s="11"/>
    </row>
    <row r="295" spans="1:21" ht="17" x14ac:dyDescent="0.2">
      <c r="A295" s="64" t="s">
        <v>10</v>
      </c>
      <c r="B295" s="168">
        <f t="shared" ref="B295:Q295" si="190">B142*INDEX($B$222:$B$238,MATCH($A295,$A$222:$A$238,0),1)</f>
        <v>0</v>
      </c>
      <c r="C295" s="168">
        <f t="shared" si="190"/>
        <v>0.27112719604937524</v>
      </c>
      <c r="D295" s="168">
        <f t="shared" si="190"/>
        <v>0</v>
      </c>
      <c r="E295" s="168">
        <f t="shared" si="190"/>
        <v>0</v>
      </c>
      <c r="F295" s="168">
        <f t="shared" si="190"/>
        <v>0</v>
      </c>
      <c r="G295" s="168">
        <f t="shared" si="190"/>
        <v>0</v>
      </c>
      <c r="H295" s="168">
        <f t="shared" si="190"/>
        <v>0</v>
      </c>
      <c r="I295" s="168">
        <f t="shared" si="190"/>
        <v>0</v>
      </c>
      <c r="J295" s="168">
        <f t="shared" si="190"/>
        <v>0</v>
      </c>
      <c r="K295" s="168">
        <f t="shared" si="190"/>
        <v>0.6326301241152088</v>
      </c>
      <c r="L295" s="168">
        <f t="shared" si="190"/>
        <v>0</v>
      </c>
      <c r="M295" s="168">
        <f t="shared" si="190"/>
        <v>0</v>
      </c>
      <c r="N295" s="168">
        <f t="shared" si="190"/>
        <v>0.90375732016458399</v>
      </c>
      <c r="O295" s="168">
        <f t="shared" si="190"/>
        <v>0</v>
      </c>
      <c r="P295" s="168">
        <f t="shared" si="190"/>
        <v>0</v>
      </c>
      <c r="Q295" s="168">
        <f t="shared" si="190"/>
        <v>0</v>
      </c>
      <c r="R295" s="168">
        <f t="shared" si="188"/>
        <v>1.1748845162139592</v>
      </c>
      <c r="S295" s="41">
        <f t="shared" si="184"/>
        <v>0</v>
      </c>
      <c r="T295" s="41">
        <f t="shared" si="185"/>
        <v>1.8075146403291682</v>
      </c>
      <c r="U295" s="11"/>
    </row>
    <row r="296" spans="1:21" ht="17" x14ac:dyDescent="0.2">
      <c r="A296" s="64" t="s">
        <v>11</v>
      </c>
      <c r="B296" s="168">
        <f t="shared" ref="B296:Q296" si="191">B143*INDEX($B$222:$B$238,MATCH($A296,$A$222:$A$238,0),1)</f>
        <v>0</v>
      </c>
      <c r="C296" s="168">
        <f t="shared" si="191"/>
        <v>0.25293638662639184</v>
      </c>
      <c r="D296" s="168">
        <f t="shared" si="191"/>
        <v>0</v>
      </c>
      <c r="E296" s="168">
        <f t="shared" si="191"/>
        <v>0</v>
      </c>
      <c r="F296" s="168">
        <f t="shared" si="191"/>
        <v>0</v>
      </c>
      <c r="G296" s="168">
        <f t="shared" si="191"/>
        <v>0</v>
      </c>
      <c r="H296" s="168">
        <f t="shared" si="191"/>
        <v>0</v>
      </c>
      <c r="I296" s="168">
        <f t="shared" si="191"/>
        <v>0</v>
      </c>
      <c r="J296" s="168">
        <f t="shared" si="191"/>
        <v>0</v>
      </c>
      <c r="K296" s="168">
        <f t="shared" si="191"/>
        <v>0.59018490212824748</v>
      </c>
      <c r="L296" s="168">
        <f t="shared" si="191"/>
        <v>0</v>
      </c>
      <c r="M296" s="168">
        <f t="shared" si="191"/>
        <v>0</v>
      </c>
      <c r="N296" s="168">
        <f t="shared" si="191"/>
        <v>0</v>
      </c>
      <c r="O296" s="168">
        <f t="shared" si="191"/>
        <v>0.84312128875463932</v>
      </c>
      <c r="P296" s="168">
        <f t="shared" si="191"/>
        <v>0</v>
      </c>
      <c r="Q296" s="168">
        <f t="shared" si="191"/>
        <v>0</v>
      </c>
      <c r="R296" s="168">
        <f t="shared" si="188"/>
        <v>1.0960576753810312</v>
      </c>
      <c r="S296" s="41">
        <f t="shared" si="184"/>
        <v>0</v>
      </c>
      <c r="T296" s="41">
        <f t="shared" si="185"/>
        <v>1.6862425775092786</v>
      </c>
      <c r="U296" s="11"/>
    </row>
    <row r="297" spans="1:21" ht="17" x14ac:dyDescent="0.2">
      <c r="A297" s="64" t="s">
        <v>25</v>
      </c>
      <c r="B297" s="168">
        <f t="shared" ref="B297:Q297" si="192">B144*INDEX($B$222:$B$238,MATCH($A297,$A$222:$A$238,0),1)</f>
        <v>0</v>
      </c>
      <c r="C297" s="168">
        <f t="shared" si="192"/>
        <v>0.25973746376899781</v>
      </c>
      <c r="D297" s="168">
        <f t="shared" si="192"/>
        <v>0</v>
      </c>
      <c r="E297" s="168">
        <f t="shared" si="192"/>
        <v>0</v>
      </c>
      <c r="F297" s="168">
        <f t="shared" si="192"/>
        <v>0</v>
      </c>
      <c r="G297" s="168">
        <f t="shared" si="192"/>
        <v>0</v>
      </c>
      <c r="H297" s="168">
        <f t="shared" si="192"/>
        <v>0</v>
      </c>
      <c r="I297" s="168">
        <f t="shared" si="192"/>
        <v>0</v>
      </c>
      <c r="J297" s="168">
        <f t="shared" si="192"/>
        <v>0</v>
      </c>
      <c r="K297" s="168">
        <f t="shared" si="192"/>
        <v>0.60605408212766143</v>
      </c>
      <c r="L297" s="168">
        <f t="shared" si="192"/>
        <v>0</v>
      </c>
      <c r="M297" s="168">
        <f t="shared" si="192"/>
        <v>0</v>
      </c>
      <c r="N297" s="168">
        <f t="shared" si="192"/>
        <v>0</v>
      </c>
      <c r="O297" s="168">
        <f t="shared" si="192"/>
        <v>0.86579154589665919</v>
      </c>
      <c r="P297" s="168">
        <f t="shared" si="192"/>
        <v>0</v>
      </c>
      <c r="Q297" s="168">
        <f t="shared" si="192"/>
        <v>0</v>
      </c>
      <c r="R297" s="168">
        <f t="shared" si="188"/>
        <v>1.1255290096656569</v>
      </c>
      <c r="S297" s="41">
        <f t="shared" si="184"/>
        <v>0</v>
      </c>
      <c r="T297" s="41">
        <f t="shared" si="185"/>
        <v>1.7315830917933184</v>
      </c>
      <c r="U297" s="11"/>
    </row>
    <row r="298" spans="1:21" ht="17" x14ac:dyDescent="0.2">
      <c r="A298" s="64" t="s">
        <v>7</v>
      </c>
      <c r="B298" s="168">
        <f t="shared" ref="B298:Q298" si="193">B145*INDEX($B$222:$B$238,MATCH($A298,$A$222:$A$238,0),1)</f>
        <v>0</v>
      </c>
      <c r="C298" s="168">
        <f t="shared" si="193"/>
        <v>1.7718467934328523</v>
      </c>
      <c r="D298" s="168">
        <f t="shared" si="193"/>
        <v>0</v>
      </c>
      <c r="E298" s="168">
        <f t="shared" si="193"/>
        <v>0</v>
      </c>
      <c r="F298" s="168">
        <f t="shared" si="193"/>
        <v>0</v>
      </c>
      <c r="G298" s="168">
        <f t="shared" si="193"/>
        <v>0</v>
      </c>
      <c r="H298" s="168">
        <f t="shared" si="193"/>
        <v>0</v>
      </c>
      <c r="I298" s="168">
        <f t="shared" si="193"/>
        <v>0</v>
      </c>
      <c r="J298" s="168">
        <f t="shared" si="193"/>
        <v>0</v>
      </c>
      <c r="K298" s="168">
        <f t="shared" si="193"/>
        <v>0</v>
      </c>
      <c r="L298" s="168">
        <f t="shared" si="193"/>
        <v>0</v>
      </c>
      <c r="M298" s="168">
        <f t="shared" si="193"/>
        <v>0</v>
      </c>
      <c r="N298" s="168">
        <f t="shared" si="193"/>
        <v>0</v>
      </c>
      <c r="O298" s="168">
        <f t="shared" si="193"/>
        <v>0</v>
      </c>
      <c r="P298" s="168">
        <f t="shared" si="193"/>
        <v>0</v>
      </c>
      <c r="Q298" s="168">
        <f t="shared" si="193"/>
        <v>0</v>
      </c>
      <c r="R298" s="168">
        <f t="shared" si="188"/>
        <v>1.7718467934328523</v>
      </c>
      <c r="S298" s="41">
        <f t="shared" si="184"/>
        <v>0</v>
      </c>
      <c r="T298" s="41">
        <f t="shared" si="185"/>
        <v>1.7718467934328523</v>
      </c>
      <c r="U298" s="11"/>
    </row>
    <row r="299" spans="1:21" ht="17" x14ac:dyDescent="0.2">
      <c r="A299" s="64" t="s">
        <v>2</v>
      </c>
      <c r="B299" s="168">
        <f t="shared" ref="B299:Q299" si="194">B146*INDEX($B$222:$B$238,MATCH($A299,$A$222:$A$238,0),1)</f>
        <v>0</v>
      </c>
      <c r="C299" s="168">
        <f t="shared" si="194"/>
        <v>0.95347343950205043</v>
      </c>
      <c r="D299" s="168">
        <f t="shared" si="194"/>
        <v>0.26697256306057415</v>
      </c>
      <c r="E299" s="168">
        <f t="shared" si="194"/>
        <v>0.61022300128131224</v>
      </c>
      <c r="F299" s="168">
        <f t="shared" si="194"/>
        <v>0.26697256306057415</v>
      </c>
      <c r="G299" s="168">
        <f t="shared" si="194"/>
        <v>0.45766725096098421</v>
      </c>
      <c r="H299" s="168">
        <f t="shared" si="194"/>
        <v>0.38138937580082022</v>
      </c>
      <c r="I299" s="168">
        <f t="shared" si="194"/>
        <v>0.26697256306057415</v>
      </c>
      <c r="J299" s="168">
        <f t="shared" si="194"/>
        <v>0.61022300128131224</v>
      </c>
      <c r="K299" s="168">
        <f t="shared" si="194"/>
        <v>0</v>
      </c>
      <c r="L299" s="168">
        <f t="shared" si="194"/>
        <v>0</v>
      </c>
      <c r="M299" s="168">
        <f t="shared" si="194"/>
        <v>0</v>
      </c>
      <c r="N299" s="168">
        <f t="shared" si="194"/>
        <v>0</v>
      </c>
      <c r="O299" s="168">
        <f t="shared" si="194"/>
        <v>0</v>
      </c>
      <c r="P299" s="168">
        <f t="shared" si="194"/>
        <v>0</v>
      </c>
      <c r="Q299" s="168">
        <f t="shared" si="194"/>
        <v>0</v>
      </c>
      <c r="R299" s="168">
        <f t="shared" si="188"/>
        <v>3.8138937580082022</v>
      </c>
      <c r="S299" s="41">
        <f t="shared" si="184"/>
        <v>0</v>
      </c>
      <c r="T299" s="41">
        <f t="shared" si="185"/>
        <v>3.8138937580082022</v>
      </c>
      <c r="U299" s="11"/>
    </row>
    <row r="300" spans="1:21" ht="17" x14ac:dyDescent="0.2">
      <c r="A300" s="64" t="s">
        <v>30</v>
      </c>
      <c r="B300" s="168">
        <f t="shared" ref="B300:Q300" si="195">B147*INDEX($B$222:$B$238,MATCH($A300,$A$222:$A$238,0),1)</f>
        <v>0</v>
      </c>
      <c r="C300" s="168">
        <f t="shared" si="195"/>
        <v>0</v>
      </c>
      <c r="D300" s="168">
        <f t="shared" si="195"/>
        <v>0</v>
      </c>
      <c r="E300" s="168">
        <f t="shared" si="195"/>
        <v>0.34661756183762138</v>
      </c>
      <c r="F300" s="168">
        <f t="shared" si="195"/>
        <v>0</v>
      </c>
      <c r="G300" s="168">
        <f t="shared" si="195"/>
        <v>0</v>
      </c>
      <c r="H300" s="168">
        <f t="shared" si="195"/>
        <v>0</v>
      </c>
      <c r="I300" s="168">
        <f t="shared" si="195"/>
        <v>0</v>
      </c>
      <c r="J300" s="168">
        <f t="shared" si="195"/>
        <v>0.69323512367524276</v>
      </c>
      <c r="K300" s="168">
        <f t="shared" si="195"/>
        <v>0</v>
      </c>
      <c r="L300" s="168">
        <f t="shared" si="195"/>
        <v>0.11553918727920715</v>
      </c>
      <c r="M300" s="168">
        <f t="shared" si="195"/>
        <v>0</v>
      </c>
      <c r="N300" s="168">
        <f t="shared" si="195"/>
        <v>0</v>
      </c>
      <c r="O300" s="168">
        <f t="shared" si="195"/>
        <v>0</v>
      </c>
      <c r="P300" s="168">
        <f t="shared" si="195"/>
        <v>0</v>
      </c>
      <c r="Q300" s="168">
        <f t="shared" si="195"/>
        <v>0</v>
      </c>
      <c r="R300" s="168">
        <f t="shared" si="188"/>
        <v>1.1553918727920711</v>
      </c>
      <c r="S300" s="41">
        <f t="shared" si="184"/>
        <v>0</v>
      </c>
      <c r="T300" s="41">
        <f t="shared" si="185"/>
        <v>1.1553918727920711</v>
      </c>
      <c r="U300" s="11"/>
    </row>
    <row r="301" spans="1:21" ht="17" x14ac:dyDescent="0.2">
      <c r="A301" s="64" t="s">
        <v>31</v>
      </c>
      <c r="B301" s="168">
        <f t="shared" ref="B301:Q301" si="196">B148*INDEX($B$222:$B$238,MATCH($A301,$A$222:$A$238,0),1)</f>
        <v>0</v>
      </c>
      <c r="C301" s="168">
        <f t="shared" si="196"/>
        <v>0.98084169246820285</v>
      </c>
      <c r="D301" s="168">
        <f t="shared" si="196"/>
        <v>0</v>
      </c>
      <c r="E301" s="168">
        <f t="shared" si="196"/>
        <v>0</v>
      </c>
      <c r="F301" s="168">
        <f t="shared" si="196"/>
        <v>0</v>
      </c>
      <c r="G301" s="168">
        <f t="shared" si="196"/>
        <v>0</v>
      </c>
      <c r="H301" s="168">
        <f t="shared" si="196"/>
        <v>0</v>
      </c>
      <c r="I301" s="168">
        <f t="shared" si="196"/>
        <v>0</v>
      </c>
      <c r="J301" s="168">
        <f t="shared" si="196"/>
        <v>0</v>
      </c>
      <c r="K301" s="168">
        <f t="shared" si="196"/>
        <v>0</v>
      </c>
      <c r="L301" s="168">
        <f t="shared" si="196"/>
        <v>0</v>
      </c>
      <c r="M301" s="168">
        <f t="shared" si="196"/>
        <v>0</v>
      </c>
      <c r="N301" s="168">
        <f t="shared" si="196"/>
        <v>0</v>
      </c>
      <c r="O301" s="168">
        <f t="shared" si="196"/>
        <v>0</v>
      </c>
      <c r="P301" s="168">
        <f t="shared" si="196"/>
        <v>0</v>
      </c>
      <c r="Q301" s="168">
        <f t="shared" si="196"/>
        <v>0</v>
      </c>
      <c r="R301" s="168">
        <f t="shared" si="188"/>
        <v>0.98084169246820285</v>
      </c>
      <c r="S301" s="41">
        <f t="shared" si="184"/>
        <v>0</v>
      </c>
      <c r="T301" s="41">
        <f t="shared" si="185"/>
        <v>0.98084169246820285</v>
      </c>
      <c r="U301" s="11"/>
    </row>
    <row r="302" spans="1:21" ht="17" x14ac:dyDescent="0.2">
      <c r="A302" s="64" t="s">
        <v>122</v>
      </c>
      <c r="B302" s="168">
        <f t="shared" ref="B302:Q302" si="197">B149*INDEX($B$222:$B$238,MATCH($A302,$A$222:$A$238,0),1)</f>
        <v>5.906203232650975E-2</v>
      </c>
      <c r="C302" s="168">
        <f t="shared" si="197"/>
        <v>0</v>
      </c>
      <c r="D302" s="168">
        <f t="shared" si="197"/>
        <v>0.1181240646530195</v>
      </c>
      <c r="E302" s="168">
        <f t="shared" si="197"/>
        <v>0.20671711314278413</v>
      </c>
      <c r="F302" s="168">
        <f t="shared" si="197"/>
        <v>0</v>
      </c>
      <c r="G302" s="168">
        <f t="shared" si="197"/>
        <v>0.20671711314278413</v>
      </c>
      <c r="H302" s="168">
        <f t="shared" si="197"/>
        <v>0</v>
      </c>
      <c r="I302" s="168">
        <f t="shared" si="197"/>
        <v>0</v>
      </c>
      <c r="J302" s="168">
        <f t="shared" si="197"/>
        <v>0</v>
      </c>
      <c r="K302" s="168">
        <f t="shared" si="197"/>
        <v>0</v>
      </c>
      <c r="L302" s="168">
        <f t="shared" si="197"/>
        <v>0</v>
      </c>
      <c r="M302" s="168">
        <f t="shared" si="197"/>
        <v>0</v>
      </c>
      <c r="N302" s="168">
        <f t="shared" si="197"/>
        <v>0</v>
      </c>
      <c r="O302" s="168">
        <f t="shared" si="197"/>
        <v>0</v>
      </c>
      <c r="P302" s="168">
        <f t="shared" si="197"/>
        <v>0</v>
      </c>
      <c r="Q302" s="168">
        <f t="shared" si="197"/>
        <v>0</v>
      </c>
      <c r="R302" s="168">
        <f t="shared" si="188"/>
        <v>0.53155829093858775</v>
      </c>
      <c r="S302" s="41">
        <f t="shared" si="184"/>
        <v>0</v>
      </c>
      <c r="T302" s="41">
        <f t="shared" si="185"/>
        <v>0.53155829093858775</v>
      </c>
      <c r="U302" s="11"/>
    </row>
    <row r="303" spans="1:21" ht="17" x14ac:dyDescent="0.2">
      <c r="A303" s="64" t="s">
        <v>32</v>
      </c>
      <c r="B303" s="168">
        <f t="shared" ref="B303:Q303" si="198">B150*INDEX($B$222:$B$238,MATCH($A303,$A$222:$A$238,0),1)</f>
        <v>0</v>
      </c>
      <c r="C303" s="168">
        <f t="shared" si="198"/>
        <v>1.3912014622770967</v>
      </c>
      <c r="D303" s="168">
        <f t="shared" si="198"/>
        <v>0</v>
      </c>
      <c r="E303" s="168">
        <f t="shared" si="198"/>
        <v>0.48692051179698387</v>
      </c>
      <c r="F303" s="168">
        <f t="shared" si="198"/>
        <v>0</v>
      </c>
      <c r="G303" s="168">
        <f t="shared" si="198"/>
        <v>0.69560073113854837</v>
      </c>
      <c r="H303" s="168">
        <f t="shared" si="198"/>
        <v>0</v>
      </c>
      <c r="I303" s="168">
        <f t="shared" si="198"/>
        <v>0.45214047524005641</v>
      </c>
      <c r="J303" s="168">
        <f t="shared" si="198"/>
        <v>0.45214047524005641</v>
      </c>
      <c r="K303" s="168">
        <f t="shared" si="198"/>
        <v>0</v>
      </c>
      <c r="L303" s="168">
        <f t="shared" si="198"/>
        <v>0</v>
      </c>
      <c r="M303" s="168">
        <f t="shared" si="198"/>
        <v>0</v>
      </c>
      <c r="N303" s="168">
        <f t="shared" si="198"/>
        <v>0</v>
      </c>
      <c r="O303" s="168">
        <f t="shared" si="198"/>
        <v>0</v>
      </c>
      <c r="P303" s="168">
        <f t="shared" si="198"/>
        <v>0</v>
      </c>
      <c r="Q303" s="168">
        <f t="shared" si="198"/>
        <v>0</v>
      </c>
      <c r="R303" s="168">
        <f t="shared" si="188"/>
        <v>3.4780036556927412</v>
      </c>
      <c r="S303" s="41">
        <f t="shared" si="184"/>
        <v>0</v>
      </c>
      <c r="T303" s="41">
        <f t="shared" si="185"/>
        <v>3.4780036556927412</v>
      </c>
      <c r="U303" s="11"/>
    </row>
    <row r="304" spans="1:21" ht="34" x14ac:dyDescent="0.2">
      <c r="A304" s="64" t="s">
        <v>105</v>
      </c>
      <c r="B304" s="168">
        <f t="shared" ref="B304:Q304" si="199">B151*INDEX($B$222:$B$238,MATCH($A304,$A$222:$A$238,0),1)</f>
        <v>0</v>
      </c>
      <c r="C304" s="168">
        <f t="shared" si="199"/>
        <v>0</v>
      </c>
      <c r="D304" s="168">
        <f t="shared" si="199"/>
        <v>0</v>
      </c>
      <c r="E304" s="168">
        <f t="shared" si="199"/>
        <v>0</v>
      </c>
      <c r="F304" s="168">
        <f t="shared" si="199"/>
        <v>0</v>
      </c>
      <c r="G304" s="168">
        <f t="shared" si="199"/>
        <v>0</v>
      </c>
      <c r="H304" s="168">
        <f t="shared" si="199"/>
        <v>0</v>
      </c>
      <c r="I304" s="168">
        <f t="shared" si="199"/>
        <v>0</v>
      </c>
      <c r="J304" s="168">
        <f t="shared" si="199"/>
        <v>0</v>
      </c>
      <c r="K304" s="168">
        <f t="shared" si="199"/>
        <v>0.168655359048904</v>
      </c>
      <c r="L304" s="168">
        <f t="shared" si="199"/>
        <v>0</v>
      </c>
      <c r="M304" s="168">
        <f t="shared" si="199"/>
        <v>0</v>
      </c>
      <c r="N304" s="168">
        <f t="shared" si="199"/>
        <v>0</v>
      </c>
      <c r="O304" s="168">
        <f t="shared" si="199"/>
        <v>0</v>
      </c>
      <c r="P304" s="168">
        <f t="shared" si="199"/>
        <v>0.71900442541901188</v>
      </c>
      <c r="Q304" s="168">
        <f t="shared" si="199"/>
        <v>0</v>
      </c>
      <c r="R304" s="168">
        <f>SUM(C304:J304,L304:P304)</f>
        <v>0.71900442541901188</v>
      </c>
      <c r="S304" s="41">
        <f t="shared" si="184"/>
        <v>0</v>
      </c>
      <c r="T304" s="41">
        <f t="shared" si="185"/>
        <v>0.88765978446791594</v>
      </c>
      <c r="U304" s="11"/>
    </row>
    <row r="305" spans="1:21" x14ac:dyDescent="0.2">
      <c r="A305" s="40" t="s">
        <v>576</v>
      </c>
      <c r="B305" s="168">
        <f t="shared" ref="B305:Q305" si="200">B152*INDEX($B$222:$B$238,MATCH($A305,$A$222:$A$238,0),1)</f>
        <v>0.18968011563510845</v>
      </c>
      <c r="C305" s="168">
        <f t="shared" si="200"/>
        <v>0</v>
      </c>
      <c r="D305" s="168">
        <f t="shared" si="200"/>
        <v>0</v>
      </c>
      <c r="E305" s="168">
        <f t="shared" si="200"/>
        <v>0</v>
      </c>
      <c r="F305" s="168">
        <f t="shared" si="200"/>
        <v>0</v>
      </c>
      <c r="G305" s="168">
        <f t="shared" si="200"/>
        <v>0</v>
      </c>
      <c r="H305" s="168">
        <f t="shared" si="200"/>
        <v>0</v>
      </c>
      <c r="I305" s="168">
        <f t="shared" si="200"/>
        <v>0</v>
      </c>
      <c r="J305" s="168">
        <f t="shared" si="200"/>
        <v>0</v>
      </c>
      <c r="K305" s="168">
        <f t="shared" si="200"/>
        <v>1.7071210407159758</v>
      </c>
      <c r="L305" s="168">
        <f t="shared" si="200"/>
        <v>0</v>
      </c>
      <c r="M305" s="168">
        <f t="shared" si="200"/>
        <v>0</v>
      </c>
      <c r="N305" s="168">
        <f t="shared" si="200"/>
        <v>0</v>
      </c>
      <c r="O305" s="168">
        <f t="shared" si="200"/>
        <v>0</v>
      </c>
      <c r="P305" s="168">
        <f t="shared" si="200"/>
        <v>0</v>
      </c>
      <c r="Q305" s="168">
        <f t="shared" si="200"/>
        <v>0</v>
      </c>
      <c r="R305" s="168">
        <f t="shared" ref="R305:R306" si="201">SUM(C305:J305,L305:P305)</f>
        <v>0</v>
      </c>
      <c r="S305" s="41">
        <f t="shared" si="184"/>
        <v>0</v>
      </c>
      <c r="T305" s="41">
        <f t="shared" si="185"/>
        <v>1.7071210407159758</v>
      </c>
      <c r="U305" s="11"/>
    </row>
    <row r="306" spans="1:21" x14ac:dyDescent="0.2">
      <c r="A306" s="40" t="s">
        <v>575</v>
      </c>
      <c r="B306" s="168">
        <f t="shared" ref="B306:Q306" si="202">B153*INDEX($B$222:$B$238,MATCH($A306,$A$222:$A$238,0),1)</f>
        <v>8.2613986220050659E-2</v>
      </c>
      <c r="C306" s="168">
        <f t="shared" si="202"/>
        <v>0</v>
      </c>
      <c r="D306" s="168">
        <f t="shared" si="202"/>
        <v>0</v>
      </c>
      <c r="E306" s="168">
        <f t="shared" si="202"/>
        <v>0</v>
      </c>
      <c r="F306" s="168">
        <f t="shared" si="202"/>
        <v>0</v>
      </c>
      <c r="G306" s="168">
        <f t="shared" si="202"/>
        <v>0</v>
      </c>
      <c r="H306" s="168">
        <f t="shared" si="202"/>
        <v>0</v>
      </c>
      <c r="I306" s="168">
        <f t="shared" si="202"/>
        <v>0</v>
      </c>
      <c r="J306" s="168">
        <f t="shared" si="202"/>
        <v>0</v>
      </c>
      <c r="K306" s="168">
        <f t="shared" si="202"/>
        <v>0.74352587598045583</v>
      </c>
      <c r="L306" s="168">
        <f t="shared" si="202"/>
        <v>0</v>
      </c>
      <c r="M306" s="168">
        <f t="shared" si="202"/>
        <v>0</v>
      </c>
      <c r="N306" s="168">
        <f t="shared" si="202"/>
        <v>0</v>
      </c>
      <c r="O306" s="168">
        <f t="shared" si="202"/>
        <v>0</v>
      </c>
      <c r="P306" s="168">
        <f t="shared" si="202"/>
        <v>0</v>
      </c>
      <c r="Q306" s="168">
        <f t="shared" si="202"/>
        <v>0</v>
      </c>
      <c r="R306" s="168">
        <f t="shared" si="201"/>
        <v>0</v>
      </c>
      <c r="S306" s="41">
        <f t="shared" si="184"/>
        <v>0</v>
      </c>
      <c r="T306" s="41">
        <f t="shared" si="185"/>
        <v>0.74352587598045583</v>
      </c>
      <c r="U306" s="11"/>
    </row>
    <row r="307" spans="1:21" x14ac:dyDescent="0.2">
      <c r="B307" s="69"/>
      <c r="C307" s="69"/>
      <c r="D307" s="69"/>
      <c r="E307" s="69"/>
      <c r="F307" s="69"/>
      <c r="G307" s="69"/>
      <c r="H307" s="69"/>
      <c r="I307" s="69"/>
      <c r="J307" s="69"/>
      <c r="K307" s="69"/>
      <c r="L307" s="69"/>
      <c r="M307" s="69"/>
      <c r="N307" s="69"/>
      <c r="O307" s="69"/>
      <c r="P307" s="69"/>
      <c r="T307" s="11"/>
    </row>
    <row r="308" spans="1:21" ht="19" x14ac:dyDescent="0.25">
      <c r="A308" s="12" t="s">
        <v>336</v>
      </c>
    </row>
    <row r="309" spans="1:21" x14ac:dyDescent="0.2">
      <c r="A309" s="2"/>
    </row>
    <row r="310" spans="1:21" x14ac:dyDescent="0.2">
      <c r="A310" s="68" t="s">
        <v>240</v>
      </c>
    </row>
    <row r="311" spans="1:21" ht="68" x14ac:dyDescent="0.2">
      <c r="A311" s="62" t="s">
        <v>212</v>
      </c>
      <c r="B311" s="63" t="s">
        <v>213</v>
      </c>
      <c r="C311" s="63" t="s">
        <v>215</v>
      </c>
      <c r="D311" s="63" t="s">
        <v>216</v>
      </c>
      <c r="E311" s="63" t="s">
        <v>217</v>
      </c>
      <c r="F311" s="63" t="s">
        <v>218</v>
      </c>
      <c r="G311" s="63" t="s">
        <v>219</v>
      </c>
      <c r="H311" s="63" t="s">
        <v>302</v>
      </c>
      <c r="I311" s="63" t="s">
        <v>220</v>
      </c>
      <c r="J311" s="63" t="s">
        <v>221</v>
      </c>
      <c r="K311" s="63" t="s">
        <v>222</v>
      </c>
      <c r="L311" s="63" t="s">
        <v>223</v>
      </c>
      <c r="M311" s="63" t="s">
        <v>224</v>
      </c>
      <c r="N311" s="63" t="s">
        <v>225</v>
      </c>
      <c r="O311" s="63" t="s">
        <v>226</v>
      </c>
      <c r="P311" s="63" t="s">
        <v>279</v>
      </c>
      <c r="Q311" s="62" t="s">
        <v>6</v>
      </c>
      <c r="R311" s="63" t="s">
        <v>278</v>
      </c>
      <c r="S311" s="73" t="s">
        <v>110</v>
      </c>
      <c r="T311" s="73" t="s">
        <v>191</v>
      </c>
    </row>
    <row r="312" spans="1:21" ht="17" x14ac:dyDescent="0.2">
      <c r="A312" s="64" t="s">
        <v>82</v>
      </c>
      <c r="B312" s="168">
        <f>B159*INDEX($B$222:$B$238,MATCH($A312,$A$222:$A$238,0),1)</f>
        <v>0</v>
      </c>
      <c r="C312" s="168">
        <f t="shared" ref="C312:Q312" si="203">C159*INDEX($B$222:$B$238,MATCH($A312,$A$222:$A$238,0),1)</f>
        <v>0</v>
      </c>
      <c r="D312" s="168">
        <f t="shared" si="203"/>
        <v>0</v>
      </c>
      <c r="E312" s="168">
        <f t="shared" si="203"/>
        <v>14.256836224530216</v>
      </c>
      <c r="F312" s="168">
        <f t="shared" si="203"/>
        <v>0</v>
      </c>
      <c r="G312" s="168">
        <f t="shared" si="203"/>
        <v>0</v>
      </c>
      <c r="H312" s="168">
        <f t="shared" si="203"/>
        <v>0</v>
      </c>
      <c r="I312" s="168">
        <f t="shared" si="203"/>
        <v>0</v>
      </c>
      <c r="J312" s="168">
        <f t="shared" si="203"/>
        <v>0</v>
      </c>
      <c r="K312" s="168">
        <f t="shared" si="203"/>
        <v>0</v>
      </c>
      <c r="L312" s="168">
        <f t="shared" si="203"/>
        <v>6.1100726676558077</v>
      </c>
      <c r="M312" s="168">
        <f t="shared" si="203"/>
        <v>0</v>
      </c>
      <c r="N312" s="168">
        <f t="shared" si="203"/>
        <v>0</v>
      </c>
      <c r="O312" s="168">
        <f t="shared" si="203"/>
        <v>0</v>
      </c>
      <c r="P312" s="168">
        <f t="shared" si="203"/>
        <v>0</v>
      </c>
      <c r="Q312" s="168">
        <f t="shared" si="203"/>
        <v>0</v>
      </c>
      <c r="R312" s="168">
        <f>SUM(C312:J312,L312:O312)</f>
        <v>20.366908892186025</v>
      </c>
      <c r="S312" s="41">
        <f>SUM(B312:Q312)-INDEX($B$222:$B$238,MATCH($A312,$A$222:$A$238,0),1)</f>
        <v>0</v>
      </c>
      <c r="T312" s="41">
        <f>SUM(C312:P312)</f>
        <v>20.366908892186025</v>
      </c>
      <c r="U312" s="156"/>
    </row>
    <row r="313" spans="1:21" ht="17" x14ac:dyDescent="0.2">
      <c r="A313" s="64" t="s">
        <v>127</v>
      </c>
      <c r="B313" s="168">
        <f t="shared" ref="B313:Q313" si="204">B160*INDEX($B$222:$B$238,MATCH($A313,$A$222:$A$238,0),1)</f>
        <v>0.19004609605610839</v>
      </c>
      <c r="C313" s="168">
        <f t="shared" si="204"/>
        <v>0.85520743225248774</v>
      </c>
      <c r="D313" s="168">
        <f t="shared" si="204"/>
        <v>0</v>
      </c>
      <c r="E313" s="168">
        <f t="shared" si="204"/>
        <v>0</v>
      </c>
      <c r="F313" s="168">
        <f t="shared" si="204"/>
        <v>0</v>
      </c>
      <c r="G313" s="168">
        <f t="shared" si="204"/>
        <v>0</v>
      </c>
      <c r="H313" s="168">
        <f t="shared" si="204"/>
        <v>0</v>
      </c>
      <c r="I313" s="168">
        <f t="shared" si="204"/>
        <v>0</v>
      </c>
      <c r="J313" s="168">
        <f t="shared" si="204"/>
        <v>0</v>
      </c>
      <c r="K313" s="168">
        <f t="shared" si="204"/>
        <v>0.28506914408416256</v>
      </c>
      <c r="L313" s="168">
        <f t="shared" si="204"/>
        <v>0</v>
      </c>
      <c r="M313" s="168">
        <f t="shared" si="204"/>
        <v>0</v>
      </c>
      <c r="N313" s="168">
        <f t="shared" si="204"/>
        <v>0</v>
      </c>
      <c r="O313" s="168">
        <f t="shared" si="204"/>
        <v>0</v>
      </c>
      <c r="P313" s="168">
        <f t="shared" si="204"/>
        <v>0</v>
      </c>
      <c r="Q313" s="168">
        <f t="shared" si="204"/>
        <v>0.57013828816832501</v>
      </c>
      <c r="R313" s="168">
        <f>SUM(C313:O313)</f>
        <v>1.1402765763366502</v>
      </c>
      <c r="S313" s="41">
        <f t="shared" ref="S313:S328" si="205">SUM(B313:Q313)-INDEX($B$222:$B$238,MATCH($A313,$A$222:$A$238,0),1)</f>
        <v>0</v>
      </c>
      <c r="T313" s="41">
        <f t="shared" ref="T313:T328" si="206">SUM(C313:P313)</f>
        <v>1.1402765763366502</v>
      </c>
      <c r="U313" s="156"/>
    </row>
    <row r="314" spans="1:21" ht="17" x14ac:dyDescent="0.2">
      <c r="A314" s="64" t="s">
        <v>8</v>
      </c>
      <c r="B314" s="168">
        <f t="shared" ref="B314:Q314" si="207">B161*INDEX($B$222:$B$238,MATCH($A314,$A$222:$A$238,0),1)</f>
        <v>0.19364381155202359</v>
      </c>
      <c r="C314" s="168">
        <f t="shared" si="207"/>
        <v>0.77457524620809437</v>
      </c>
      <c r="D314" s="168">
        <f t="shared" si="207"/>
        <v>0</v>
      </c>
      <c r="E314" s="168">
        <f t="shared" si="207"/>
        <v>0</v>
      </c>
      <c r="F314" s="168">
        <f t="shared" si="207"/>
        <v>0</v>
      </c>
      <c r="G314" s="168">
        <f t="shared" si="207"/>
        <v>0</v>
      </c>
      <c r="H314" s="168">
        <f t="shared" si="207"/>
        <v>0</v>
      </c>
      <c r="I314" s="168">
        <f t="shared" si="207"/>
        <v>0</v>
      </c>
      <c r="J314" s="168">
        <f t="shared" si="207"/>
        <v>0</v>
      </c>
      <c r="K314" s="168">
        <f t="shared" si="207"/>
        <v>0.29046571732803539</v>
      </c>
      <c r="L314" s="168">
        <f t="shared" si="207"/>
        <v>0</v>
      </c>
      <c r="M314" s="168">
        <f t="shared" si="207"/>
        <v>0</v>
      </c>
      <c r="N314" s="168">
        <f t="shared" si="207"/>
        <v>0</v>
      </c>
      <c r="O314" s="168">
        <f t="shared" si="207"/>
        <v>0</v>
      </c>
      <c r="P314" s="168">
        <f t="shared" si="207"/>
        <v>0</v>
      </c>
      <c r="Q314" s="168">
        <f t="shared" si="207"/>
        <v>0.67775334043208257</v>
      </c>
      <c r="R314" s="168">
        <f>SUM(C314:J314,L314:O314)</f>
        <v>0.77457524620809437</v>
      </c>
      <c r="S314" s="41">
        <f t="shared" si="205"/>
        <v>0</v>
      </c>
      <c r="T314" s="41">
        <f t="shared" si="206"/>
        <v>1.0650409635361298</v>
      </c>
      <c r="U314" s="156"/>
    </row>
    <row r="315" spans="1:21" ht="17" x14ac:dyDescent="0.2">
      <c r="A315" s="64" t="s">
        <v>19</v>
      </c>
      <c r="B315" s="168">
        <f t="shared" ref="B315:Q315" si="208">B162*INDEX($B$222:$B$238,MATCH($A315,$A$222:$A$238,0),1)</f>
        <v>0.16802864513959234</v>
      </c>
      <c r="C315" s="168">
        <f t="shared" si="208"/>
        <v>0.67211458055836937</v>
      </c>
      <c r="D315" s="168">
        <f t="shared" si="208"/>
        <v>0</v>
      </c>
      <c r="E315" s="168">
        <f t="shared" si="208"/>
        <v>0</v>
      </c>
      <c r="F315" s="168">
        <f t="shared" si="208"/>
        <v>0</v>
      </c>
      <c r="G315" s="168">
        <f t="shared" si="208"/>
        <v>0</v>
      </c>
      <c r="H315" s="168">
        <f t="shared" si="208"/>
        <v>0</v>
      </c>
      <c r="I315" s="168">
        <f t="shared" si="208"/>
        <v>0</v>
      </c>
      <c r="J315" s="168">
        <f t="shared" si="208"/>
        <v>0</v>
      </c>
      <c r="K315" s="168">
        <f t="shared" si="208"/>
        <v>0.2520429677093885</v>
      </c>
      <c r="L315" s="168">
        <f t="shared" si="208"/>
        <v>0</v>
      </c>
      <c r="M315" s="168">
        <f t="shared" si="208"/>
        <v>0</v>
      </c>
      <c r="N315" s="168">
        <f t="shared" si="208"/>
        <v>0</v>
      </c>
      <c r="O315" s="168">
        <f t="shared" si="208"/>
        <v>0</v>
      </c>
      <c r="P315" s="168">
        <f t="shared" si="208"/>
        <v>0</v>
      </c>
      <c r="Q315" s="168">
        <f t="shared" si="208"/>
        <v>0.58810025798857313</v>
      </c>
      <c r="R315" s="168">
        <f t="shared" ref="R315:R325" si="209">SUM(C315:J315,L315:O315)</f>
        <v>0.67211458055836937</v>
      </c>
      <c r="S315" s="41">
        <f t="shared" si="205"/>
        <v>0</v>
      </c>
      <c r="T315" s="41">
        <f t="shared" si="206"/>
        <v>0.92415754826775787</v>
      </c>
      <c r="U315" s="156"/>
    </row>
    <row r="316" spans="1:21" ht="17" x14ac:dyDescent="0.2">
      <c r="A316" s="64" t="s">
        <v>1</v>
      </c>
      <c r="B316" s="168">
        <f t="shared" ref="B316:Q316" si="210">B163*INDEX($B$222:$B$238,MATCH($A316,$A$222:$A$238,0),1)</f>
        <v>0</v>
      </c>
      <c r="C316" s="168">
        <f t="shared" si="210"/>
        <v>2.1148190559321778</v>
      </c>
      <c r="D316" s="168">
        <f t="shared" si="210"/>
        <v>0</v>
      </c>
      <c r="E316" s="168">
        <f t="shared" si="210"/>
        <v>0</v>
      </c>
      <c r="F316" s="168">
        <f t="shared" si="210"/>
        <v>0</v>
      </c>
      <c r="G316" s="168">
        <f t="shared" si="210"/>
        <v>0</v>
      </c>
      <c r="H316" s="168">
        <f t="shared" si="210"/>
        <v>0</v>
      </c>
      <c r="I316" s="168">
        <f t="shared" si="210"/>
        <v>0</v>
      </c>
      <c r="J316" s="168">
        <f t="shared" si="210"/>
        <v>0</v>
      </c>
      <c r="K316" s="168">
        <f t="shared" si="210"/>
        <v>0.23497989510357531</v>
      </c>
      <c r="L316" s="168">
        <f t="shared" si="210"/>
        <v>0</v>
      </c>
      <c r="M316" s="168">
        <f t="shared" si="210"/>
        <v>0</v>
      </c>
      <c r="N316" s="168">
        <f t="shared" si="210"/>
        <v>0</v>
      </c>
      <c r="O316" s="168">
        <f t="shared" si="210"/>
        <v>0</v>
      </c>
      <c r="P316" s="168">
        <f t="shared" si="210"/>
        <v>0</v>
      </c>
      <c r="Q316" s="168">
        <f t="shared" si="210"/>
        <v>0</v>
      </c>
      <c r="R316" s="168">
        <f t="shared" si="209"/>
        <v>2.1148190559321778</v>
      </c>
      <c r="S316" s="41">
        <f t="shared" si="205"/>
        <v>0</v>
      </c>
      <c r="T316" s="41">
        <f t="shared" si="206"/>
        <v>2.3497989510357531</v>
      </c>
      <c r="U316" s="156"/>
    </row>
    <row r="317" spans="1:21" ht="17" x14ac:dyDescent="0.2">
      <c r="A317" s="64" t="s">
        <v>10</v>
      </c>
      <c r="B317" s="168">
        <f t="shared" ref="B317:Q317" si="211">B164*INDEX($B$222:$B$238,MATCH($A317,$A$222:$A$238,0),1)</f>
        <v>0.18075146403291681</v>
      </c>
      <c r="C317" s="168">
        <f t="shared" si="211"/>
        <v>0.18075146403291681</v>
      </c>
      <c r="D317" s="168">
        <f t="shared" si="211"/>
        <v>0</v>
      </c>
      <c r="E317" s="168">
        <f t="shared" si="211"/>
        <v>0</v>
      </c>
      <c r="F317" s="168">
        <f t="shared" si="211"/>
        <v>0</v>
      </c>
      <c r="G317" s="168">
        <f t="shared" si="211"/>
        <v>0</v>
      </c>
      <c r="H317" s="168">
        <f t="shared" si="211"/>
        <v>0</v>
      </c>
      <c r="I317" s="168">
        <f t="shared" si="211"/>
        <v>0</v>
      </c>
      <c r="J317" s="168">
        <f t="shared" si="211"/>
        <v>0</v>
      </c>
      <c r="K317" s="168">
        <f t="shared" si="211"/>
        <v>0.27112719604937519</v>
      </c>
      <c r="L317" s="168">
        <f t="shared" si="211"/>
        <v>0</v>
      </c>
      <c r="M317" s="168">
        <f t="shared" si="211"/>
        <v>0</v>
      </c>
      <c r="N317" s="168">
        <f t="shared" si="211"/>
        <v>0.90375732016458399</v>
      </c>
      <c r="O317" s="168">
        <f t="shared" si="211"/>
        <v>0</v>
      </c>
      <c r="P317" s="168">
        <f t="shared" si="211"/>
        <v>0</v>
      </c>
      <c r="Q317" s="168">
        <f t="shared" si="211"/>
        <v>0.27112719604937524</v>
      </c>
      <c r="R317" s="168">
        <f t="shared" si="209"/>
        <v>1.0845087841975007</v>
      </c>
      <c r="S317" s="41">
        <f t="shared" si="205"/>
        <v>0</v>
      </c>
      <c r="T317" s="41">
        <f t="shared" si="206"/>
        <v>1.355635980246876</v>
      </c>
      <c r="U317" s="156"/>
    </row>
    <row r="318" spans="1:21" ht="17" x14ac:dyDescent="0.2">
      <c r="A318" s="64" t="s">
        <v>11</v>
      </c>
      <c r="B318" s="168">
        <f t="shared" ref="B318:Q318" si="212">B165*INDEX($B$222:$B$238,MATCH($A318,$A$222:$A$238,0),1)</f>
        <v>0.16862425775092788</v>
      </c>
      <c r="C318" s="168">
        <f t="shared" si="212"/>
        <v>0.16862425775092788</v>
      </c>
      <c r="D318" s="168">
        <f t="shared" si="212"/>
        <v>0</v>
      </c>
      <c r="E318" s="168">
        <f t="shared" si="212"/>
        <v>0</v>
      </c>
      <c r="F318" s="168">
        <f t="shared" si="212"/>
        <v>0</v>
      </c>
      <c r="G318" s="168">
        <f t="shared" si="212"/>
        <v>0</v>
      </c>
      <c r="H318" s="168">
        <f t="shared" si="212"/>
        <v>0</v>
      </c>
      <c r="I318" s="168">
        <f t="shared" si="212"/>
        <v>0</v>
      </c>
      <c r="J318" s="168">
        <f t="shared" si="212"/>
        <v>0</v>
      </c>
      <c r="K318" s="168">
        <f t="shared" si="212"/>
        <v>0.25293638662639178</v>
      </c>
      <c r="L318" s="168">
        <f t="shared" si="212"/>
        <v>0</v>
      </c>
      <c r="M318" s="168">
        <f t="shared" si="212"/>
        <v>0</v>
      </c>
      <c r="N318" s="168">
        <f t="shared" si="212"/>
        <v>0</v>
      </c>
      <c r="O318" s="168">
        <f t="shared" si="212"/>
        <v>0.84312128875463932</v>
      </c>
      <c r="P318" s="168">
        <f t="shared" si="212"/>
        <v>0</v>
      </c>
      <c r="Q318" s="168">
        <f t="shared" si="212"/>
        <v>0.25293638662639184</v>
      </c>
      <c r="R318" s="168">
        <f t="shared" si="209"/>
        <v>1.0117455465055671</v>
      </c>
      <c r="S318" s="41">
        <f t="shared" si="205"/>
        <v>0</v>
      </c>
      <c r="T318" s="41">
        <f t="shared" si="206"/>
        <v>1.264681933131959</v>
      </c>
      <c r="U318" s="156"/>
    </row>
    <row r="319" spans="1:21" ht="17" x14ac:dyDescent="0.2">
      <c r="A319" s="64" t="s">
        <v>25</v>
      </c>
      <c r="B319" s="168">
        <f t="shared" ref="B319:Q319" si="213">B166*INDEX($B$222:$B$238,MATCH($A319,$A$222:$A$238,0),1)</f>
        <v>0.17315830917933184</v>
      </c>
      <c r="C319" s="168">
        <f t="shared" si="213"/>
        <v>0.17315830917933184</v>
      </c>
      <c r="D319" s="168">
        <f t="shared" si="213"/>
        <v>0</v>
      </c>
      <c r="E319" s="168">
        <f t="shared" si="213"/>
        <v>0</v>
      </c>
      <c r="F319" s="168">
        <f t="shared" si="213"/>
        <v>0</v>
      </c>
      <c r="G319" s="168">
        <f t="shared" si="213"/>
        <v>0</v>
      </c>
      <c r="H319" s="168">
        <f t="shared" si="213"/>
        <v>0</v>
      </c>
      <c r="I319" s="168">
        <f t="shared" si="213"/>
        <v>0</v>
      </c>
      <c r="J319" s="168">
        <f t="shared" si="213"/>
        <v>0</v>
      </c>
      <c r="K319" s="168">
        <f t="shared" si="213"/>
        <v>0.25973746376899776</v>
      </c>
      <c r="L319" s="168">
        <f t="shared" si="213"/>
        <v>0</v>
      </c>
      <c r="M319" s="168">
        <f t="shared" si="213"/>
        <v>0</v>
      </c>
      <c r="N319" s="168">
        <f t="shared" si="213"/>
        <v>0</v>
      </c>
      <c r="O319" s="168">
        <f t="shared" si="213"/>
        <v>0.86579154589665919</v>
      </c>
      <c r="P319" s="168">
        <f t="shared" si="213"/>
        <v>0</v>
      </c>
      <c r="Q319" s="168">
        <f t="shared" si="213"/>
        <v>0.25973746376899781</v>
      </c>
      <c r="R319" s="168">
        <f t="shared" si="209"/>
        <v>1.038949855075991</v>
      </c>
      <c r="S319" s="41">
        <f t="shared" si="205"/>
        <v>0</v>
      </c>
      <c r="T319" s="41">
        <f t="shared" si="206"/>
        <v>1.2986873188449888</v>
      </c>
      <c r="U319" s="156"/>
    </row>
    <row r="320" spans="1:21" ht="17" x14ac:dyDescent="0.2">
      <c r="A320" s="64" t="s">
        <v>7</v>
      </c>
      <c r="B320" s="168">
        <f t="shared" ref="B320:Q320" si="214">B167*INDEX($B$222:$B$238,MATCH($A320,$A$222:$A$238,0),1)</f>
        <v>0</v>
      </c>
      <c r="C320" s="168">
        <f t="shared" si="214"/>
        <v>0.88592339671642617</v>
      </c>
      <c r="D320" s="168">
        <f t="shared" si="214"/>
        <v>0</v>
      </c>
      <c r="E320" s="168">
        <f t="shared" si="214"/>
        <v>0</v>
      </c>
      <c r="F320" s="168">
        <f t="shared" si="214"/>
        <v>0</v>
      </c>
      <c r="G320" s="168">
        <f t="shared" si="214"/>
        <v>0</v>
      </c>
      <c r="H320" s="168">
        <f t="shared" si="214"/>
        <v>0</v>
      </c>
      <c r="I320" s="168">
        <f t="shared" si="214"/>
        <v>0</v>
      </c>
      <c r="J320" s="168">
        <f t="shared" si="214"/>
        <v>0</v>
      </c>
      <c r="K320" s="168">
        <f t="shared" si="214"/>
        <v>0</v>
      </c>
      <c r="L320" s="168">
        <f t="shared" si="214"/>
        <v>0</v>
      </c>
      <c r="M320" s="168">
        <f t="shared" si="214"/>
        <v>0</v>
      </c>
      <c r="N320" s="168">
        <f t="shared" si="214"/>
        <v>0</v>
      </c>
      <c r="O320" s="168">
        <f t="shared" si="214"/>
        <v>0</v>
      </c>
      <c r="P320" s="168">
        <f t="shared" si="214"/>
        <v>0</v>
      </c>
      <c r="Q320" s="168">
        <f t="shared" si="214"/>
        <v>0.88592339671642617</v>
      </c>
      <c r="R320" s="168">
        <f t="shared" si="209"/>
        <v>0.88592339671642617</v>
      </c>
      <c r="S320" s="41">
        <f t="shared" si="205"/>
        <v>0</v>
      </c>
      <c r="T320" s="41">
        <f t="shared" si="206"/>
        <v>0.88592339671642617</v>
      </c>
      <c r="U320" s="156"/>
    </row>
    <row r="321" spans="1:21" ht="17" x14ac:dyDescent="0.2">
      <c r="A321" s="64" t="s">
        <v>2</v>
      </c>
      <c r="B321" s="168">
        <f t="shared" ref="B321:Q321" si="215">B168*INDEX($B$222:$B$238,MATCH($A321,$A$222:$A$238,0),1)</f>
        <v>0</v>
      </c>
      <c r="C321" s="168">
        <f t="shared" si="215"/>
        <v>1.9069468790041009</v>
      </c>
      <c r="D321" s="168">
        <f t="shared" si="215"/>
        <v>0</v>
      </c>
      <c r="E321" s="168">
        <f t="shared" si="215"/>
        <v>0.76277875160164044</v>
      </c>
      <c r="F321" s="168">
        <f t="shared" si="215"/>
        <v>0</v>
      </c>
      <c r="G321" s="168">
        <f t="shared" si="215"/>
        <v>0.38138937580082022</v>
      </c>
      <c r="H321" s="168">
        <f t="shared" si="215"/>
        <v>0</v>
      </c>
      <c r="I321" s="168">
        <f t="shared" si="215"/>
        <v>0</v>
      </c>
      <c r="J321" s="168">
        <f t="shared" si="215"/>
        <v>0.76277875160164044</v>
      </c>
      <c r="K321" s="168">
        <f t="shared" si="215"/>
        <v>0</v>
      </c>
      <c r="L321" s="168">
        <f t="shared" si="215"/>
        <v>0</v>
      </c>
      <c r="M321" s="168">
        <f t="shared" si="215"/>
        <v>0</v>
      </c>
      <c r="N321" s="168">
        <f t="shared" si="215"/>
        <v>0</v>
      </c>
      <c r="O321" s="168">
        <f t="shared" si="215"/>
        <v>0</v>
      </c>
      <c r="P321" s="168">
        <f t="shared" si="215"/>
        <v>0</v>
      </c>
      <c r="Q321" s="168">
        <f t="shared" si="215"/>
        <v>0</v>
      </c>
      <c r="R321" s="168">
        <f t="shared" si="209"/>
        <v>3.8138937580082022</v>
      </c>
      <c r="S321" s="41">
        <f t="shared" si="205"/>
        <v>0</v>
      </c>
      <c r="T321" s="41">
        <f t="shared" si="206"/>
        <v>3.8138937580082022</v>
      </c>
      <c r="U321" s="156"/>
    </row>
    <row r="322" spans="1:21" ht="17" x14ac:dyDescent="0.2">
      <c r="A322" s="64" t="s">
        <v>30</v>
      </c>
      <c r="B322" s="168">
        <f t="shared" ref="B322:Q322" si="216">B169*INDEX($B$222:$B$238,MATCH($A322,$A$222:$A$238,0),1)</f>
        <v>0.11553918727920715</v>
      </c>
      <c r="C322" s="168">
        <f t="shared" si="216"/>
        <v>0.51992634275643212</v>
      </c>
      <c r="D322" s="168">
        <f t="shared" si="216"/>
        <v>0</v>
      </c>
      <c r="E322" s="168">
        <f t="shared" si="216"/>
        <v>0</v>
      </c>
      <c r="F322" s="168">
        <f t="shared" si="216"/>
        <v>0</v>
      </c>
      <c r="G322" s="168">
        <f t="shared" si="216"/>
        <v>0</v>
      </c>
      <c r="H322" s="168">
        <f t="shared" si="216"/>
        <v>0</v>
      </c>
      <c r="I322" s="168">
        <f t="shared" si="216"/>
        <v>0</v>
      </c>
      <c r="J322" s="168">
        <f t="shared" si="216"/>
        <v>0.23107837455841429</v>
      </c>
      <c r="K322" s="168">
        <f t="shared" si="216"/>
        <v>0</v>
      </c>
      <c r="L322" s="168">
        <f t="shared" si="216"/>
        <v>0</v>
      </c>
      <c r="M322" s="168">
        <f t="shared" si="216"/>
        <v>0</v>
      </c>
      <c r="N322" s="168">
        <f t="shared" si="216"/>
        <v>0</v>
      </c>
      <c r="O322" s="168">
        <f t="shared" si="216"/>
        <v>0</v>
      </c>
      <c r="P322" s="168">
        <f t="shared" si="216"/>
        <v>0</v>
      </c>
      <c r="Q322" s="168">
        <f t="shared" si="216"/>
        <v>0.28884796819801783</v>
      </c>
      <c r="R322" s="168">
        <f t="shared" si="209"/>
        <v>0.75100471731484642</v>
      </c>
      <c r="S322" s="41">
        <f t="shared" si="205"/>
        <v>0</v>
      </c>
      <c r="T322" s="41">
        <f t="shared" si="206"/>
        <v>0.75100471731484642</v>
      </c>
      <c r="U322" s="156"/>
    </row>
    <row r="323" spans="1:21" ht="17" x14ac:dyDescent="0.2">
      <c r="A323" s="64" t="s">
        <v>31</v>
      </c>
      <c r="B323" s="168">
        <f t="shared" ref="B323:Q323" si="217">B170*INDEX($B$222:$B$238,MATCH($A323,$A$222:$A$238,0),1)</f>
        <v>0</v>
      </c>
      <c r="C323" s="168">
        <f t="shared" si="217"/>
        <v>0.83371543859797237</v>
      </c>
      <c r="D323" s="168">
        <f t="shared" si="217"/>
        <v>0</v>
      </c>
      <c r="E323" s="168">
        <f t="shared" si="217"/>
        <v>0</v>
      </c>
      <c r="F323" s="168">
        <f t="shared" si="217"/>
        <v>0</v>
      </c>
      <c r="G323" s="168">
        <f t="shared" si="217"/>
        <v>0</v>
      </c>
      <c r="H323" s="168">
        <f t="shared" si="217"/>
        <v>0</v>
      </c>
      <c r="I323" s="168">
        <f t="shared" si="217"/>
        <v>0</v>
      </c>
      <c r="J323" s="168">
        <f t="shared" si="217"/>
        <v>0</v>
      </c>
      <c r="K323" s="168">
        <f t="shared" si="217"/>
        <v>0</v>
      </c>
      <c r="L323" s="168">
        <f t="shared" si="217"/>
        <v>0</v>
      </c>
      <c r="M323" s="168">
        <f t="shared" si="217"/>
        <v>0</v>
      </c>
      <c r="N323" s="168">
        <f t="shared" si="217"/>
        <v>0</v>
      </c>
      <c r="O323" s="168">
        <f t="shared" si="217"/>
        <v>0</v>
      </c>
      <c r="P323" s="168">
        <f t="shared" si="217"/>
        <v>0</v>
      </c>
      <c r="Q323" s="168">
        <f t="shared" si="217"/>
        <v>0.14712625387023046</v>
      </c>
      <c r="R323" s="168">
        <f t="shared" si="209"/>
        <v>0.83371543859797237</v>
      </c>
      <c r="S323" s="41">
        <f t="shared" si="205"/>
        <v>0</v>
      </c>
      <c r="T323" s="41">
        <f t="shared" si="206"/>
        <v>0.83371543859797237</v>
      </c>
      <c r="U323" s="156"/>
    </row>
    <row r="324" spans="1:21" ht="17" x14ac:dyDescent="0.2">
      <c r="A324" s="64" t="s">
        <v>122</v>
      </c>
      <c r="B324" s="168">
        <f t="shared" ref="B324:Q324" si="218">B171*INDEX($B$222:$B$238,MATCH($A324,$A$222:$A$238,0),1)</f>
        <v>5.906203232650975E-2</v>
      </c>
      <c r="C324" s="168">
        <f t="shared" si="218"/>
        <v>0</v>
      </c>
      <c r="D324" s="168">
        <f t="shared" si="218"/>
        <v>0</v>
      </c>
      <c r="E324" s="168">
        <f t="shared" si="218"/>
        <v>0.26577914546929388</v>
      </c>
      <c r="F324" s="168">
        <f t="shared" si="218"/>
        <v>0</v>
      </c>
      <c r="G324" s="168">
        <f t="shared" si="218"/>
        <v>0.26577914546929388</v>
      </c>
      <c r="H324" s="168">
        <f t="shared" si="218"/>
        <v>0</v>
      </c>
      <c r="I324" s="168">
        <f t="shared" si="218"/>
        <v>0</v>
      </c>
      <c r="J324" s="168">
        <f t="shared" si="218"/>
        <v>0</v>
      </c>
      <c r="K324" s="168">
        <f t="shared" si="218"/>
        <v>0</v>
      </c>
      <c r="L324" s="168">
        <f t="shared" si="218"/>
        <v>0</v>
      </c>
      <c r="M324" s="168">
        <f t="shared" si="218"/>
        <v>0</v>
      </c>
      <c r="N324" s="168">
        <f t="shared" si="218"/>
        <v>0</v>
      </c>
      <c r="O324" s="168">
        <f t="shared" si="218"/>
        <v>0</v>
      </c>
      <c r="P324" s="168">
        <f t="shared" si="218"/>
        <v>0</v>
      </c>
      <c r="Q324" s="168">
        <f t="shared" si="218"/>
        <v>0</v>
      </c>
      <c r="R324" s="168">
        <f t="shared" si="209"/>
        <v>0.53155829093858775</v>
      </c>
      <c r="S324" s="41">
        <f t="shared" si="205"/>
        <v>0</v>
      </c>
      <c r="T324" s="41">
        <f t="shared" si="206"/>
        <v>0.53155829093858775</v>
      </c>
      <c r="U324" s="156"/>
    </row>
    <row r="325" spans="1:21" ht="17" x14ac:dyDescent="0.2">
      <c r="A325" s="64" t="s">
        <v>32</v>
      </c>
      <c r="B325" s="168">
        <f t="shared" ref="B325:Q325" si="219">B172*INDEX($B$222:$B$238,MATCH($A325,$A$222:$A$238,0),1)</f>
        <v>0</v>
      </c>
      <c r="C325" s="168">
        <f t="shared" si="219"/>
        <v>3.1302032901234673</v>
      </c>
      <c r="D325" s="168">
        <f t="shared" si="219"/>
        <v>0</v>
      </c>
      <c r="E325" s="168">
        <f t="shared" si="219"/>
        <v>0</v>
      </c>
      <c r="F325" s="168">
        <f t="shared" si="219"/>
        <v>0</v>
      </c>
      <c r="G325" s="168">
        <f t="shared" si="219"/>
        <v>0</v>
      </c>
      <c r="H325" s="168">
        <f t="shared" si="219"/>
        <v>0</v>
      </c>
      <c r="I325" s="168">
        <f t="shared" si="219"/>
        <v>0</v>
      </c>
      <c r="J325" s="168">
        <f t="shared" si="219"/>
        <v>0</v>
      </c>
      <c r="K325" s="168">
        <f t="shared" si="219"/>
        <v>0</v>
      </c>
      <c r="L325" s="168">
        <f t="shared" si="219"/>
        <v>0</v>
      </c>
      <c r="M325" s="168">
        <f t="shared" si="219"/>
        <v>0</v>
      </c>
      <c r="N325" s="168">
        <f t="shared" si="219"/>
        <v>0</v>
      </c>
      <c r="O325" s="168">
        <f t="shared" si="219"/>
        <v>0</v>
      </c>
      <c r="P325" s="168">
        <f t="shared" si="219"/>
        <v>0</v>
      </c>
      <c r="Q325" s="168">
        <f t="shared" si="219"/>
        <v>0.34780036556927407</v>
      </c>
      <c r="R325" s="168">
        <f t="shared" si="209"/>
        <v>3.1302032901234673</v>
      </c>
      <c r="S325" s="41">
        <f t="shared" si="205"/>
        <v>0</v>
      </c>
      <c r="T325" s="41">
        <f t="shared" si="206"/>
        <v>3.1302032901234673</v>
      </c>
      <c r="U325" s="156"/>
    </row>
    <row r="326" spans="1:21" ht="34" x14ac:dyDescent="0.2">
      <c r="A326" s="64" t="s">
        <v>105</v>
      </c>
      <c r="B326" s="168">
        <f t="shared" ref="B326:Q326" si="220">B173*INDEX($B$222:$B$238,MATCH($A326,$A$222:$A$238,0),1)</f>
        <v>0</v>
      </c>
      <c r="C326" s="168">
        <f t="shared" si="220"/>
        <v>0</v>
      </c>
      <c r="D326" s="168">
        <f t="shared" si="220"/>
        <v>0</v>
      </c>
      <c r="E326" s="168">
        <f t="shared" si="220"/>
        <v>0</v>
      </c>
      <c r="F326" s="168">
        <f t="shared" si="220"/>
        <v>0</v>
      </c>
      <c r="G326" s="168">
        <f t="shared" si="220"/>
        <v>0</v>
      </c>
      <c r="H326" s="168">
        <f t="shared" si="220"/>
        <v>0</v>
      </c>
      <c r="I326" s="168">
        <f t="shared" si="220"/>
        <v>0</v>
      </c>
      <c r="J326" s="168">
        <f t="shared" si="220"/>
        <v>0</v>
      </c>
      <c r="K326" s="168">
        <f t="shared" si="220"/>
        <v>0</v>
      </c>
      <c r="L326" s="168">
        <f t="shared" si="220"/>
        <v>0</v>
      </c>
      <c r="M326" s="168">
        <f t="shared" si="220"/>
        <v>0</v>
      </c>
      <c r="N326" s="168">
        <f t="shared" si="220"/>
        <v>0</v>
      </c>
      <c r="O326" s="168">
        <f t="shared" si="220"/>
        <v>0</v>
      </c>
      <c r="P326" s="168">
        <f t="shared" si="220"/>
        <v>0.7154537862811402</v>
      </c>
      <c r="Q326" s="168">
        <f t="shared" si="220"/>
        <v>0.17220599818677562</v>
      </c>
      <c r="R326" s="168">
        <f>SUM(C326:J326,L326:P326)</f>
        <v>0.7154537862811402</v>
      </c>
      <c r="S326" s="41">
        <f t="shared" si="205"/>
        <v>0</v>
      </c>
      <c r="T326" s="41">
        <f t="shared" si="206"/>
        <v>0.7154537862811402</v>
      </c>
      <c r="U326" s="156"/>
    </row>
    <row r="327" spans="1:21" x14ac:dyDescent="0.2">
      <c r="A327" s="40" t="s">
        <v>576</v>
      </c>
      <c r="B327" s="168">
        <f t="shared" ref="B327:Q327" si="221">B174*INDEX($B$222:$B$238,MATCH($A327,$A$222:$A$238,0),1)</f>
        <v>0.18968011563510845</v>
      </c>
      <c r="C327" s="168">
        <f t="shared" si="221"/>
        <v>0.85356052035798791</v>
      </c>
      <c r="D327" s="168">
        <f t="shared" si="221"/>
        <v>0</v>
      </c>
      <c r="E327" s="168">
        <f t="shared" si="221"/>
        <v>0</v>
      </c>
      <c r="F327" s="168">
        <f t="shared" si="221"/>
        <v>0</v>
      </c>
      <c r="G327" s="168">
        <f t="shared" si="221"/>
        <v>0</v>
      </c>
      <c r="H327" s="168">
        <f t="shared" si="221"/>
        <v>0</v>
      </c>
      <c r="I327" s="168">
        <f t="shared" si="221"/>
        <v>0</v>
      </c>
      <c r="J327" s="168">
        <f t="shared" si="221"/>
        <v>0</v>
      </c>
      <c r="K327" s="168">
        <f t="shared" si="221"/>
        <v>0.28452017345266262</v>
      </c>
      <c r="L327" s="168">
        <f t="shared" si="221"/>
        <v>0</v>
      </c>
      <c r="M327" s="168">
        <f t="shared" si="221"/>
        <v>0</v>
      </c>
      <c r="N327" s="168">
        <f t="shared" si="221"/>
        <v>0</v>
      </c>
      <c r="O327" s="168">
        <f t="shared" si="221"/>
        <v>0</v>
      </c>
      <c r="P327" s="168">
        <f t="shared" si="221"/>
        <v>0</v>
      </c>
      <c r="Q327" s="168">
        <f t="shared" si="221"/>
        <v>0.56904034690532512</v>
      </c>
      <c r="R327" s="168">
        <f t="shared" ref="R327:R328" si="222">SUM(C327:J327,L327:P327)</f>
        <v>0.85356052035798791</v>
      </c>
      <c r="S327" s="41">
        <f t="shared" si="205"/>
        <v>0</v>
      </c>
      <c r="T327" s="41">
        <f t="shared" si="206"/>
        <v>1.1380806938106505</v>
      </c>
      <c r="U327" s="156"/>
    </row>
    <row r="328" spans="1:21" x14ac:dyDescent="0.2">
      <c r="A328" s="40" t="s">
        <v>575</v>
      </c>
      <c r="B328" s="168">
        <f t="shared" ref="B328:Q328" si="223">B175*INDEX($B$222:$B$238,MATCH($A328,$A$222:$A$238,0),1)</f>
        <v>8.2613986220050659E-2</v>
      </c>
      <c r="C328" s="168">
        <f t="shared" si="223"/>
        <v>0.37176293799022792</v>
      </c>
      <c r="D328" s="168">
        <f t="shared" si="223"/>
        <v>0</v>
      </c>
      <c r="E328" s="168">
        <f t="shared" si="223"/>
        <v>0</v>
      </c>
      <c r="F328" s="168">
        <f t="shared" si="223"/>
        <v>0</v>
      </c>
      <c r="G328" s="168">
        <f t="shared" si="223"/>
        <v>0</v>
      </c>
      <c r="H328" s="168">
        <f t="shared" si="223"/>
        <v>0</v>
      </c>
      <c r="I328" s="168">
        <f t="shared" si="223"/>
        <v>0</v>
      </c>
      <c r="J328" s="168">
        <f t="shared" si="223"/>
        <v>0</v>
      </c>
      <c r="K328" s="168">
        <f t="shared" si="223"/>
        <v>0.12392097933007597</v>
      </c>
      <c r="L328" s="168">
        <f t="shared" si="223"/>
        <v>0</v>
      </c>
      <c r="M328" s="168">
        <f t="shared" si="223"/>
        <v>0</v>
      </c>
      <c r="N328" s="168">
        <f t="shared" si="223"/>
        <v>0</v>
      </c>
      <c r="O328" s="168">
        <f t="shared" si="223"/>
        <v>0</v>
      </c>
      <c r="P328" s="168">
        <f t="shared" si="223"/>
        <v>0</v>
      </c>
      <c r="Q328" s="168">
        <f t="shared" si="223"/>
        <v>0.24784195866015191</v>
      </c>
      <c r="R328" s="168">
        <f t="shared" si="222"/>
        <v>0.37176293799022792</v>
      </c>
      <c r="S328" s="41">
        <f t="shared" si="205"/>
        <v>0</v>
      </c>
      <c r="T328" s="41">
        <f t="shared" si="206"/>
        <v>0.49568391732030387</v>
      </c>
      <c r="U328" s="156"/>
    </row>
    <row r="329" spans="1:21" x14ac:dyDescent="0.2">
      <c r="A329" t="s">
        <v>233</v>
      </c>
      <c r="B329" s="69"/>
      <c r="C329" s="69"/>
      <c r="D329" s="69"/>
      <c r="E329" s="69"/>
      <c r="F329" s="69"/>
      <c r="G329" s="69"/>
      <c r="H329" s="69"/>
      <c r="I329" s="69"/>
      <c r="J329" s="69"/>
      <c r="K329" s="69"/>
      <c r="L329" s="69"/>
      <c r="M329" s="69"/>
      <c r="N329" s="69"/>
      <c r="O329" s="69"/>
      <c r="P329" s="69"/>
      <c r="Q329" s="69"/>
    </row>
    <row r="331" spans="1:21" x14ac:dyDescent="0.2">
      <c r="A331" s="61" t="s">
        <v>232</v>
      </c>
    </row>
    <row r="332" spans="1:21" ht="68" x14ac:dyDescent="0.2">
      <c r="A332" s="62" t="s">
        <v>212</v>
      </c>
      <c r="B332" s="63" t="s">
        <v>213</v>
      </c>
      <c r="C332" s="63" t="s">
        <v>215</v>
      </c>
      <c r="D332" s="63" t="s">
        <v>216</v>
      </c>
      <c r="E332" s="63" t="s">
        <v>217</v>
      </c>
      <c r="F332" s="63" t="s">
        <v>218</v>
      </c>
      <c r="G332" s="63" t="s">
        <v>219</v>
      </c>
      <c r="H332" s="63" t="s">
        <v>302</v>
      </c>
      <c r="I332" s="63" t="s">
        <v>220</v>
      </c>
      <c r="J332" s="63" t="s">
        <v>221</v>
      </c>
      <c r="K332" s="63" t="s">
        <v>222</v>
      </c>
      <c r="L332" s="63" t="s">
        <v>223</v>
      </c>
      <c r="M332" s="63" t="s">
        <v>224</v>
      </c>
      <c r="N332" s="63" t="s">
        <v>225</v>
      </c>
      <c r="O332" s="63" t="s">
        <v>226</v>
      </c>
      <c r="P332" s="63" t="s">
        <v>279</v>
      </c>
      <c r="Q332" s="62" t="s">
        <v>6</v>
      </c>
      <c r="R332" s="63" t="s">
        <v>278</v>
      </c>
      <c r="S332" s="73" t="s">
        <v>110</v>
      </c>
      <c r="T332" s="73" t="s">
        <v>191</v>
      </c>
    </row>
    <row r="333" spans="1:21" ht="17" x14ac:dyDescent="0.2">
      <c r="A333" s="64" t="s">
        <v>82</v>
      </c>
      <c r="B333" s="168">
        <f>B180*INDEX($B$222:$B$238,MATCH($A333,$A$222:$A$238,0),1)</f>
        <v>0</v>
      </c>
      <c r="C333" s="168">
        <f t="shared" ref="C333:Q333" si="224">C180*INDEX($B$222:$B$238,MATCH($A333,$A$222:$A$238,0),1)</f>
        <v>0</v>
      </c>
      <c r="D333" s="168">
        <f t="shared" si="224"/>
        <v>0</v>
      </c>
      <c r="E333" s="168">
        <f t="shared" si="224"/>
        <v>11.201799890702315</v>
      </c>
      <c r="F333" s="168">
        <f t="shared" si="224"/>
        <v>1.0183454446093012</v>
      </c>
      <c r="G333" s="168">
        <f t="shared" si="224"/>
        <v>3.0550363338279038</v>
      </c>
      <c r="H333" s="168">
        <f t="shared" si="224"/>
        <v>0</v>
      </c>
      <c r="I333" s="168">
        <f t="shared" si="224"/>
        <v>1.0183454446093012</v>
      </c>
      <c r="J333" s="168">
        <f t="shared" si="224"/>
        <v>0</v>
      </c>
      <c r="K333" s="168">
        <f t="shared" si="224"/>
        <v>0</v>
      </c>
      <c r="L333" s="168">
        <f t="shared" si="224"/>
        <v>3.0550363338279038</v>
      </c>
      <c r="M333" s="168">
        <f t="shared" si="224"/>
        <v>1.0183454446093012</v>
      </c>
      <c r="N333" s="168">
        <f t="shared" si="224"/>
        <v>0</v>
      </c>
      <c r="O333" s="168">
        <f t="shared" si="224"/>
        <v>0</v>
      </c>
      <c r="P333" s="168">
        <f t="shared" si="224"/>
        <v>0</v>
      </c>
      <c r="Q333" s="168">
        <f t="shared" si="224"/>
        <v>0</v>
      </c>
      <c r="R333" s="168">
        <f>SUM(C333:J333,L333:O333)</f>
        <v>20.366908892186025</v>
      </c>
      <c r="S333" s="41">
        <f>SUM(B333:Q333)-INDEX($B$222:$B$238,MATCH($A333,$A$222:$A$238,0),1)</f>
        <v>0</v>
      </c>
      <c r="T333" s="41">
        <f>SUM(C333:P333)</f>
        <v>20.366908892186025</v>
      </c>
    </row>
    <row r="334" spans="1:21" ht="17" x14ac:dyDescent="0.2">
      <c r="A334" s="64" t="s">
        <v>127</v>
      </c>
      <c r="B334" s="168">
        <f t="shared" ref="B334:Q334" si="225">B181*INDEX($B$222:$B$238,MATCH($A334,$A$222:$A$238,0),1)</f>
        <v>9.5023048028054197E-2</v>
      </c>
      <c r="C334" s="168">
        <f t="shared" si="225"/>
        <v>0.85520743225248774</v>
      </c>
      <c r="D334" s="168">
        <f t="shared" si="225"/>
        <v>0</v>
      </c>
      <c r="E334" s="168">
        <f t="shared" si="225"/>
        <v>0.57013828816832512</v>
      </c>
      <c r="F334" s="168">
        <f t="shared" si="225"/>
        <v>0</v>
      </c>
      <c r="G334" s="168">
        <f t="shared" si="225"/>
        <v>9.5023048028054197E-2</v>
      </c>
      <c r="H334" s="168">
        <f t="shared" si="225"/>
        <v>0</v>
      </c>
      <c r="I334" s="168">
        <f t="shared" si="225"/>
        <v>0</v>
      </c>
      <c r="J334" s="168">
        <f t="shared" si="225"/>
        <v>0</v>
      </c>
      <c r="K334" s="168">
        <f t="shared" si="225"/>
        <v>9.5023048028054197E-2</v>
      </c>
      <c r="L334" s="168">
        <f t="shared" si="225"/>
        <v>0</v>
      </c>
      <c r="M334" s="168">
        <f t="shared" si="225"/>
        <v>0</v>
      </c>
      <c r="N334" s="168">
        <f t="shared" si="225"/>
        <v>0</v>
      </c>
      <c r="O334" s="168">
        <f t="shared" si="225"/>
        <v>0</v>
      </c>
      <c r="P334" s="168">
        <f t="shared" si="225"/>
        <v>0</v>
      </c>
      <c r="Q334" s="168">
        <f t="shared" si="225"/>
        <v>0.19004609605610812</v>
      </c>
      <c r="R334" s="168">
        <f>SUM(C334:O334)</f>
        <v>1.6153918164769214</v>
      </c>
      <c r="S334" s="41">
        <f t="shared" ref="S334:S349" si="226">SUM(B334:Q334)-INDEX($B$222:$B$238,MATCH($A334,$A$222:$A$238,0),1)</f>
        <v>0</v>
      </c>
      <c r="T334" s="41">
        <f t="shared" ref="T334:T349" si="227">SUM(C334:P334)</f>
        <v>1.6153918164769214</v>
      </c>
    </row>
    <row r="335" spans="1:21" ht="17" x14ac:dyDescent="0.2">
      <c r="A335" s="64" t="s">
        <v>8</v>
      </c>
      <c r="B335" s="168">
        <f t="shared" ref="B335:Q335" si="228">B182*INDEX($B$222:$B$238,MATCH($A335,$A$222:$A$238,0),1)</f>
        <v>9.6821905776011796E-2</v>
      </c>
      <c r="C335" s="168">
        <f t="shared" si="228"/>
        <v>1.5491504924161887</v>
      </c>
      <c r="D335" s="168">
        <f t="shared" si="228"/>
        <v>0</v>
      </c>
      <c r="E335" s="168">
        <f t="shared" si="228"/>
        <v>0</v>
      </c>
      <c r="F335" s="168">
        <f t="shared" si="228"/>
        <v>0</v>
      </c>
      <c r="G335" s="168">
        <f t="shared" si="228"/>
        <v>0</v>
      </c>
      <c r="H335" s="168">
        <f t="shared" si="228"/>
        <v>0</v>
      </c>
      <c r="I335" s="168">
        <f t="shared" si="228"/>
        <v>0</v>
      </c>
      <c r="J335" s="168">
        <f t="shared" si="228"/>
        <v>0</v>
      </c>
      <c r="K335" s="168">
        <f t="shared" si="228"/>
        <v>9.6821905776011796E-2</v>
      </c>
      <c r="L335" s="168">
        <f t="shared" si="228"/>
        <v>0</v>
      </c>
      <c r="M335" s="168">
        <f t="shared" si="228"/>
        <v>0</v>
      </c>
      <c r="N335" s="168">
        <f t="shared" si="228"/>
        <v>0</v>
      </c>
      <c r="O335" s="168">
        <f t="shared" si="228"/>
        <v>0</v>
      </c>
      <c r="P335" s="168">
        <f t="shared" si="228"/>
        <v>0</v>
      </c>
      <c r="Q335" s="168">
        <f t="shared" si="228"/>
        <v>0.19364381155202334</v>
      </c>
      <c r="R335" s="168">
        <f>SUM(C335:J335,L335:O335)</f>
        <v>1.5491504924161887</v>
      </c>
      <c r="S335" s="41">
        <f t="shared" si="226"/>
        <v>0</v>
      </c>
      <c r="T335" s="41">
        <f t="shared" si="227"/>
        <v>1.6459723981922005</v>
      </c>
    </row>
    <row r="336" spans="1:21" ht="17" x14ac:dyDescent="0.2">
      <c r="A336" s="64" t="s">
        <v>19</v>
      </c>
      <c r="B336" s="168">
        <f t="shared" ref="B336:Q336" si="229">B183*INDEX($B$222:$B$238,MATCH($A336,$A$222:$A$238,0),1)</f>
        <v>8.4014322569796171E-2</v>
      </c>
      <c r="C336" s="168">
        <f t="shared" si="229"/>
        <v>1.3442291611167387</v>
      </c>
      <c r="D336" s="168">
        <f t="shared" si="229"/>
        <v>0</v>
      </c>
      <c r="E336" s="168">
        <f t="shared" si="229"/>
        <v>0</v>
      </c>
      <c r="F336" s="168">
        <f t="shared" si="229"/>
        <v>0</v>
      </c>
      <c r="G336" s="168">
        <f t="shared" si="229"/>
        <v>0</v>
      </c>
      <c r="H336" s="168">
        <f t="shared" si="229"/>
        <v>0</v>
      </c>
      <c r="I336" s="168">
        <f t="shared" si="229"/>
        <v>0</v>
      </c>
      <c r="J336" s="168">
        <f t="shared" si="229"/>
        <v>0</v>
      </c>
      <c r="K336" s="168">
        <f t="shared" si="229"/>
        <v>8.4014322569796171E-2</v>
      </c>
      <c r="L336" s="168">
        <f t="shared" si="229"/>
        <v>0</v>
      </c>
      <c r="M336" s="168">
        <f t="shared" si="229"/>
        <v>0</v>
      </c>
      <c r="N336" s="168">
        <f t="shared" si="229"/>
        <v>0</v>
      </c>
      <c r="O336" s="168">
        <f t="shared" si="229"/>
        <v>0</v>
      </c>
      <c r="P336" s="168">
        <f t="shared" si="229"/>
        <v>0</v>
      </c>
      <c r="Q336" s="168">
        <f t="shared" si="229"/>
        <v>0.16802864513959209</v>
      </c>
      <c r="R336" s="168">
        <f t="shared" ref="R336:R346" si="230">SUM(C336:J336,L336:O336)</f>
        <v>1.3442291611167387</v>
      </c>
      <c r="S336" s="41">
        <f t="shared" si="226"/>
        <v>0</v>
      </c>
      <c r="T336" s="41">
        <f t="shared" si="227"/>
        <v>1.428243483686535</v>
      </c>
    </row>
    <row r="337" spans="1:20" ht="17" x14ac:dyDescent="0.2">
      <c r="A337" s="64" t="s">
        <v>1</v>
      </c>
      <c r="B337" s="168">
        <f t="shared" ref="B337:Q337" si="231">B184*INDEX($B$222:$B$238,MATCH($A337,$A$222:$A$238,0),1)</f>
        <v>0</v>
      </c>
      <c r="C337" s="168">
        <f t="shared" si="231"/>
        <v>2.3497989510357531</v>
      </c>
      <c r="D337" s="168">
        <f t="shared" si="231"/>
        <v>0</v>
      </c>
      <c r="E337" s="168">
        <f t="shared" si="231"/>
        <v>0</v>
      </c>
      <c r="F337" s="168">
        <f t="shared" si="231"/>
        <v>0</v>
      </c>
      <c r="G337" s="168">
        <f t="shared" si="231"/>
        <v>0</v>
      </c>
      <c r="H337" s="168">
        <f t="shared" si="231"/>
        <v>0</v>
      </c>
      <c r="I337" s="168">
        <f t="shared" si="231"/>
        <v>0</v>
      </c>
      <c r="J337" s="168">
        <f t="shared" si="231"/>
        <v>0</v>
      </c>
      <c r="K337" s="168">
        <f t="shared" si="231"/>
        <v>0</v>
      </c>
      <c r="L337" s="168">
        <f t="shared" si="231"/>
        <v>0</v>
      </c>
      <c r="M337" s="168">
        <f t="shared" si="231"/>
        <v>0</v>
      </c>
      <c r="N337" s="168">
        <f t="shared" si="231"/>
        <v>0</v>
      </c>
      <c r="O337" s="168">
        <f t="shared" si="231"/>
        <v>0</v>
      </c>
      <c r="P337" s="168">
        <f t="shared" si="231"/>
        <v>0</v>
      </c>
      <c r="Q337" s="168">
        <f t="shared" si="231"/>
        <v>0</v>
      </c>
      <c r="R337" s="168">
        <f t="shared" si="230"/>
        <v>2.3497989510357531</v>
      </c>
      <c r="S337" s="41">
        <f t="shared" si="226"/>
        <v>0</v>
      </c>
      <c r="T337" s="41">
        <f t="shared" si="227"/>
        <v>2.3497989510357531</v>
      </c>
    </row>
    <row r="338" spans="1:20" ht="17" x14ac:dyDescent="0.2">
      <c r="A338" s="64" t="s">
        <v>10</v>
      </c>
      <c r="B338" s="168">
        <f t="shared" ref="B338:Q338" si="232">B185*INDEX($B$222:$B$238,MATCH($A338,$A$222:$A$238,0),1)</f>
        <v>0</v>
      </c>
      <c r="C338" s="168">
        <f t="shared" si="232"/>
        <v>0.36150292806583362</v>
      </c>
      <c r="D338" s="168">
        <f t="shared" si="232"/>
        <v>0</v>
      </c>
      <c r="E338" s="168">
        <f t="shared" si="232"/>
        <v>0</v>
      </c>
      <c r="F338" s="168">
        <f t="shared" si="232"/>
        <v>0</v>
      </c>
      <c r="G338" s="168">
        <f t="shared" si="232"/>
        <v>0</v>
      </c>
      <c r="H338" s="168">
        <f t="shared" si="232"/>
        <v>0</v>
      </c>
      <c r="I338" s="168">
        <f t="shared" si="232"/>
        <v>0</v>
      </c>
      <c r="J338" s="168">
        <f t="shared" si="232"/>
        <v>0</v>
      </c>
      <c r="K338" s="168">
        <f t="shared" si="232"/>
        <v>0</v>
      </c>
      <c r="L338" s="168">
        <f t="shared" si="232"/>
        <v>0</v>
      </c>
      <c r="M338" s="168">
        <f t="shared" si="232"/>
        <v>0</v>
      </c>
      <c r="N338" s="168">
        <f t="shared" si="232"/>
        <v>1.4460117122633345</v>
      </c>
      <c r="O338" s="168">
        <f t="shared" si="232"/>
        <v>0</v>
      </c>
      <c r="P338" s="168">
        <f t="shared" si="232"/>
        <v>0</v>
      </c>
      <c r="Q338" s="168">
        <f t="shared" si="232"/>
        <v>0</v>
      </c>
      <c r="R338" s="168">
        <f t="shared" si="230"/>
        <v>1.8075146403291682</v>
      </c>
      <c r="S338" s="41">
        <f t="shared" si="226"/>
        <v>0</v>
      </c>
      <c r="T338" s="41">
        <f t="shared" si="227"/>
        <v>1.8075146403291682</v>
      </c>
    </row>
    <row r="339" spans="1:20" ht="17" x14ac:dyDescent="0.2">
      <c r="A339" s="64" t="s">
        <v>11</v>
      </c>
      <c r="B339" s="168">
        <f t="shared" ref="B339:Q339" si="233">B186*INDEX($B$222:$B$238,MATCH($A339,$A$222:$A$238,0),1)</f>
        <v>0</v>
      </c>
      <c r="C339" s="168">
        <f t="shared" si="233"/>
        <v>0.33724851550185575</v>
      </c>
      <c r="D339" s="168">
        <f t="shared" si="233"/>
        <v>0</v>
      </c>
      <c r="E339" s="168">
        <f t="shared" si="233"/>
        <v>0</v>
      </c>
      <c r="F339" s="168">
        <f t="shared" si="233"/>
        <v>0</v>
      </c>
      <c r="G339" s="168">
        <f t="shared" si="233"/>
        <v>0</v>
      </c>
      <c r="H339" s="168">
        <f t="shared" si="233"/>
        <v>0</v>
      </c>
      <c r="I339" s="168">
        <f t="shared" si="233"/>
        <v>0</v>
      </c>
      <c r="J339" s="168">
        <f t="shared" si="233"/>
        <v>0</v>
      </c>
      <c r="K339" s="168">
        <f t="shared" si="233"/>
        <v>0</v>
      </c>
      <c r="L339" s="168">
        <f t="shared" si="233"/>
        <v>0</v>
      </c>
      <c r="M339" s="168">
        <f t="shared" si="233"/>
        <v>0</v>
      </c>
      <c r="N339" s="168">
        <f t="shared" si="233"/>
        <v>0</v>
      </c>
      <c r="O339" s="168">
        <f t="shared" si="233"/>
        <v>1.348994062007423</v>
      </c>
      <c r="P339" s="168">
        <f t="shared" si="233"/>
        <v>0</v>
      </c>
      <c r="Q339" s="168">
        <f t="shared" si="233"/>
        <v>0</v>
      </c>
      <c r="R339" s="168">
        <f t="shared" si="230"/>
        <v>1.6862425775092786</v>
      </c>
      <c r="S339" s="41">
        <f t="shared" si="226"/>
        <v>0</v>
      </c>
      <c r="T339" s="41">
        <f t="shared" si="227"/>
        <v>1.6862425775092786</v>
      </c>
    </row>
    <row r="340" spans="1:20" ht="17" x14ac:dyDescent="0.2">
      <c r="A340" s="64" t="s">
        <v>25</v>
      </c>
      <c r="B340" s="168">
        <f t="shared" ref="B340:Q340" si="234">B187*INDEX($B$222:$B$238,MATCH($A340,$A$222:$A$238,0),1)</f>
        <v>0</v>
      </c>
      <c r="C340" s="168">
        <f t="shared" si="234"/>
        <v>0.34631661835866367</v>
      </c>
      <c r="D340" s="168">
        <f t="shared" si="234"/>
        <v>0</v>
      </c>
      <c r="E340" s="168">
        <f t="shared" si="234"/>
        <v>0</v>
      </c>
      <c r="F340" s="168">
        <f t="shared" si="234"/>
        <v>0</v>
      </c>
      <c r="G340" s="168">
        <f t="shared" si="234"/>
        <v>0</v>
      </c>
      <c r="H340" s="168">
        <f t="shared" si="234"/>
        <v>0</v>
      </c>
      <c r="I340" s="168">
        <f t="shared" si="234"/>
        <v>0</v>
      </c>
      <c r="J340" s="168">
        <f t="shared" si="234"/>
        <v>0</v>
      </c>
      <c r="K340" s="168">
        <f t="shared" si="234"/>
        <v>0</v>
      </c>
      <c r="L340" s="168">
        <f t="shared" si="234"/>
        <v>0</v>
      </c>
      <c r="M340" s="168">
        <f t="shared" si="234"/>
        <v>0</v>
      </c>
      <c r="N340" s="168">
        <f t="shared" si="234"/>
        <v>0</v>
      </c>
      <c r="O340" s="168">
        <f t="shared" si="234"/>
        <v>1.3852664734346547</v>
      </c>
      <c r="P340" s="168">
        <f t="shared" si="234"/>
        <v>0</v>
      </c>
      <c r="Q340" s="168">
        <f t="shared" si="234"/>
        <v>0</v>
      </c>
      <c r="R340" s="168">
        <f t="shared" si="230"/>
        <v>1.7315830917933184</v>
      </c>
      <c r="S340" s="41">
        <f t="shared" si="226"/>
        <v>0</v>
      </c>
      <c r="T340" s="41">
        <f t="shared" si="227"/>
        <v>1.7315830917933184</v>
      </c>
    </row>
    <row r="341" spans="1:20" ht="17" x14ac:dyDescent="0.2">
      <c r="A341" s="64" t="s">
        <v>7</v>
      </c>
      <c r="B341" s="168">
        <f t="shared" ref="B341:Q341" si="235">B188*INDEX($B$222:$B$238,MATCH($A341,$A$222:$A$238,0),1)</f>
        <v>0</v>
      </c>
      <c r="C341" s="168">
        <f t="shared" si="235"/>
        <v>1.151700415731354</v>
      </c>
      <c r="D341" s="168">
        <f t="shared" si="235"/>
        <v>0</v>
      </c>
      <c r="E341" s="168">
        <f t="shared" si="235"/>
        <v>0</v>
      </c>
      <c r="F341" s="168">
        <f t="shared" si="235"/>
        <v>0</v>
      </c>
      <c r="G341" s="168">
        <f t="shared" si="235"/>
        <v>0</v>
      </c>
      <c r="H341" s="168">
        <f t="shared" si="235"/>
        <v>0</v>
      </c>
      <c r="I341" s="168">
        <f t="shared" si="235"/>
        <v>0</v>
      </c>
      <c r="J341" s="168">
        <f t="shared" si="235"/>
        <v>0</v>
      </c>
      <c r="K341" s="168">
        <f t="shared" si="235"/>
        <v>0</v>
      </c>
      <c r="L341" s="168">
        <f t="shared" si="235"/>
        <v>0</v>
      </c>
      <c r="M341" s="168">
        <f t="shared" si="235"/>
        <v>0</v>
      </c>
      <c r="N341" s="168">
        <f t="shared" si="235"/>
        <v>0</v>
      </c>
      <c r="O341" s="168">
        <f t="shared" si="235"/>
        <v>0</v>
      </c>
      <c r="P341" s="168">
        <f t="shared" si="235"/>
        <v>0</v>
      </c>
      <c r="Q341" s="168">
        <f t="shared" si="235"/>
        <v>0.62014637770149827</v>
      </c>
      <c r="R341" s="168">
        <f t="shared" si="230"/>
        <v>1.151700415731354</v>
      </c>
      <c r="S341" s="41">
        <f t="shared" si="226"/>
        <v>0</v>
      </c>
      <c r="T341" s="41">
        <f t="shared" si="227"/>
        <v>1.151700415731354</v>
      </c>
    </row>
    <row r="342" spans="1:20" ht="17" x14ac:dyDescent="0.2">
      <c r="A342" s="64" t="s">
        <v>2</v>
      </c>
      <c r="B342" s="168">
        <f t="shared" ref="B342:Q342" si="236">B189*INDEX($B$222:$B$238,MATCH($A342,$A$222:$A$238,0),1)</f>
        <v>0</v>
      </c>
      <c r="C342" s="168">
        <f t="shared" si="236"/>
        <v>1.0678902522422966</v>
      </c>
      <c r="D342" s="168">
        <f t="shared" si="236"/>
        <v>0.19069468790041011</v>
      </c>
      <c r="E342" s="168">
        <f t="shared" si="236"/>
        <v>0.76277875160164044</v>
      </c>
      <c r="F342" s="168">
        <f t="shared" si="236"/>
        <v>0</v>
      </c>
      <c r="G342" s="168">
        <f t="shared" si="236"/>
        <v>0.57208406370123022</v>
      </c>
      <c r="H342" s="168">
        <f t="shared" si="236"/>
        <v>0.26697256306057415</v>
      </c>
      <c r="I342" s="168">
        <f t="shared" si="236"/>
        <v>0.19069468790041011</v>
      </c>
      <c r="J342" s="168">
        <f t="shared" si="236"/>
        <v>0.76277875160164044</v>
      </c>
      <c r="K342" s="168">
        <f t="shared" si="236"/>
        <v>0</v>
      </c>
      <c r="L342" s="168">
        <f t="shared" si="236"/>
        <v>0</v>
      </c>
      <c r="M342" s="168">
        <f t="shared" si="236"/>
        <v>0</v>
      </c>
      <c r="N342" s="168">
        <f t="shared" si="236"/>
        <v>0</v>
      </c>
      <c r="O342" s="168">
        <f t="shared" si="236"/>
        <v>0</v>
      </c>
      <c r="P342" s="168">
        <f t="shared" si="236"/>
        <v>0</v>
      </c>
      <c r="Q342" s="168">
        <f t="shared" si="236"/>
        <v>0</v>
      </c>
      <c r="R342" s="168">
        <f t="shared" si="230"/>
        <v>3.8138937580082022</v>
      </c>
      <c r="S342" s="41">
        <f t="shared" si="226"/>
        <v>0</v>
      </c>
      <c r="T342" s="41">
        <f t="shared" si="227"/>
        <v>3.8138937580082022</v>
      </c>
    </row>
    <row r="343" spans="1:20" ht="17" x14ac:dyDescent="0.2">
      <c r="A343" s="64" t="s">
        <v>30</v>
      </c>
      <c r="B343" s="168">
        <f t="shared" ref="B343:Q343" si="237">B190*INDEX($B$222:$B$238,MATCH($A343,$A$222:$A$238,0),1)</f>
        <v>0</v>
      </c>
      <c r="C343" s="168">
        <f t="shared" si="237"/>
        <v>0.57769593639603567</v>
      </c>
      <c r="D343" s="168">
        <f t="shared" si="237"/>
        <v>0</v>
      </c>
      <c r="E343" s="168">
        <f t="shared" si="237"/>
        <v>0.11553918727920715</v>
      </c>
      <c r="F343" s="168">
        <f t="shared" si="237"/>
        <v>0</v>
      </c>
      <c r="G343" s="168">
        <f t="shared" si="237"/>
        <v>0</v>
      </c>
      <c r="H343" s="168">
        <f t="shared" si="237"/>
        <v>0</v>
      </c>
      <c r="I343" s="168">
        <f t="shared" si="237"/>
        <v>0</v>
      </c>
      <c r="J343" s="168">
        <f t="shared" si="237"/>
        <v>0.40438715547722492</v>
      </c>
      <c r="K343" s="168">
        <f t="shared" si="237"/>
        <v>0</v>
      </c>
      <c r="L343" s="168">
        <f t="shared" si="237"/>
        <v>5.7769593639603573E-2</v>
      </c>
      <c r="M343" s="168">
        <f t="shared" si="237"/>
        <v>0</v>
      </c>
      <c r="N343" s="168">
        <f t="shared" si="237"/>
        <v>0</v>
      </c>
      <c r="O343" s="168">
        <f t="shared" si="237"/>
        <v>0</v>
      </c>
      <c r="P343" s="168">
        <f t="shared" si="237"/>
        <v>0</v>
      </c>
      <c r="Q343" s="168">
        <f t="shared" si="237"/>
        <v>0</v>
      </c>
      <c r="R343" s="168">
        <f t="shared" si="230"/>
        <v>1.1553918727920713</v>
      </c>
      <c r="S343" s="41">
        <f t="shared" si="226"/>
        <v>0</v>
      </c>
      <c r="T343" s="41">
        <f t="shared" si="227"/>
        <v>1.1553918727920713</v>
      </c>
    </row>
    <row r="344" spans="1:20" ht="17" x14ac:dyDescent="0.2">
      <c r="A344" s="64" t="s">
        <v>31</v>
      </c>
      <c r="B344" s="168">
        <f t="shared" ref="B344:Q344" si="238">B191*INDEX($B$222:$B$238,MATCH($A344,$A$222:$A$238,0),1)</f>
        <v>0</v>
      </c>
      <c r="C344" s="168">
        <f t="shared" si="238"/>
        <v>0.88275752322138257</v>
      </c>
      <c r="D344" s="168">
        <f t="shared" si="238"/>
        <v>0</v>
      </c>
      <c r="E344" s="168">
        <f t="shared" si="238"/>
        <v>0</v>
      </c>
      <c r="F344" s="168">
        <f t="shared" si="238"/>
        <v>0</v>
      </c>
      <c r="G344" s="168">
        <f t="shared" si="238"/>
        <v>0</v>
      </c>
      <c r="H344" s="168">
        <f t="shared" si="238"/>
        <v>0</v>
      </c>
      <c r="I344" s="168">
        <f t="shared" si="238"/>
        <v>0</v>
      </c>
      <c r="J344" s="168">
        <f t="shared" si="238"/>
        <v>0</v>
      </c>
      <c r="K344" s="168">
        <f t="shared" si="238"/>
        <v>0</v>
      </c>
      <c r="L344" s="168">
        <f t="shared" si="238"/>
        <v>0</v>
      </c>
      <c r="M344" s="168">
        <f t="shared" si="238"/>
        <v>0</v>
      </c>
      <c r="N344" s="168">
        <f t="shared" si="238"/>
        <v>0</v>
      </c>
      <c r="O344" s="168">
        <f t="shared" si="238"/>
        <v>0</v>
      </c>
      <c r="P344" s="168">
        <f t="shared" si="238"/>
        <v>0</v>
      </c>
      <c r="Q344" s="168">
        <f t="shared" si="238"/>
        <v>9.8084169246820258E-2</v>
      </c>
      <c r="R344" s="168">
        <f t="shared" si="230"/>
        <v>0.88275752322138257</v>
      </c>
      <c r="S344" s="41">
        <f t="shared" si="226"/>
        <v>0</v>
      </c>
      <c r="T344" s="41">
        <f t="shared" si="227"/>
        <v>0.88275752322138257</v>
      </c>
    </row>
    <row r="345" spans="1:20" ht="17" x14ac:dyDescent="0.2">
      <c r="A345" s="64" t="s">
        <v>122</v>
      </c>
      <c r="B345" s="168">
        <f t="shared" ref="B345:Q345" si="239">B192*INDEX($B$222:$B$238,MATCH($A345,$A$222:$A$238,0),1)</f>
        <v>0</v>
      </c>
      <c r="C345" s="168">
        <f t="shared" si="239"/>
        <v>0</v>
      </c>
      <c r="D345" s="168">
        <f t="shared" si="239"/>
        <v>0.17718609697952925</v>
      </c>
      <c r="E345" s="168">
        <f t="shared" si="239"/>
        <v>0.20671711314278413</v>
      </c>
      <c r="F345" s="168">
        <f t="shared" si="239"/>
        <v>0</v>
      </c>
      <c r="G345" s="168">
        <f t="shared" si="239"/>
        <v>0.20671711314278413</v>
      </c>
      <c r="H345" s="168">
        <f t="shared" si="239"/>
        <v>0</v>
      </c>
      <c r="I345" s="168">
        <f t="shared" si="239"/>
        <v>0</v>
      </c>
      <c r="J345" s="168">
        <f t="shared" si="239"/>
        <v>0</v>
      </c>
      <c r="K345" s="168">
        <f t="shared" si="239"/>
        <v>0</v>
      </c>
      <c r="L345" s="168">
        <f t="shared" si="239"/>
        <v>0</v>
      </c>
      <c r="M345" s="168">
        <f t="shared" si="239"/>
        <v>0</v>
      </c>
      <c r="N345" s="168">
        <f t="shared" si="239"/>
        <v>0</v>
      </c>
      <c r="O345" s="168">
        <f t="shared" si="239"/>
        <v>0</v>
      </c>
      <c r="P345" s="168">
        <f t="shared" si="239"/>
        <v>0</v>
      </c>
      <c r="Q345" s="168">
        <f t="shared" si="239"/>
        <v>0</v>
      </c>
      <c r="R345" s="168">
        <f t="shared" si="230"/>
        <v>0.5906203232650975</v>
      </c>
      <c r="S345" s="41">
        <f t="shared" si="226"/>
        <v>0</v>
      </c>
      <c r="T345" s="41">
        <f t="shared" si="227"/>
        <v>0.5906203232650975</v>
      </c>
    </row>
    <row r="346" spans="1:20" ht="17" x14ac:dyDescent="0.2">
      <c r="A346" s="64" t="s">
        <v>32</v>
      </c>
      <c r="B346" s="168">
        <f t="shared" ref="B346:Q346" si="240">B193*INDEX($B$222:$B$238,MATCH($A346,$A$222:$A$238,0),1)</f>
        <v>0</v>
      </c>
      <c r="C346" s="168">
        <f t="shared" si="240"/>
        <v>1.3912014622770967</v>
      </c>
      <c r="D346" s="168">
        <f t="shared" si="240"/>
        <v>0</v>
      </c>
      <c r="E346" s="168">
        <f t="shared" si="240"/>
        <v>0.34780036556927418</v>
      </c>
      <c r="F346" s="168">
        <f t="shared" si="240"/>
        <v>0</v>
      </c>
      <c r="G346" s="168">
        <f t="shared" si="240"/>
        <v>0.69560073113854837</v>
      </c>
      <c r="H346" s="168">
        <f t="shared" si="240"/>
        <v>0</v>
      </c>
      <c r="I346" s="168">
        <f t="shared" si="240"/>
        <v>0.34780036556927418</v>
      </c>
      <c r="J346" s="168">
        <f t="shared" si="240"/>
        <v>0.34780036556927418</v>
      </c>
      <c r="K346" s="168">
        <f t="shared" si="240"/>
        <v>0</v>
      </c>
      <c r="L346" s="168">
        <f t="shared" si="240"/>
        <v>0</v>
      </c>
      <c r="M346" s="168">
        <f t="shared" si="240"/>
        <v>0</v>
      </c>
      <c r="N346" s="168">
        <f t="shared" si="240"/>
        <v>0</v>
      </c>
      <c r="O346" s="168">
        <f t="shared" si="240"/>
        <v>0</v>
      </c>
      <c r="P346" s="168">
        <f t="shared" si="240"/>
        <v>0</v>
      </c>
      <c r="Q346" s="168">
        <f t="shared" si="240"/>
        <v>0.34780036556927446</v>
      </c>
      <c r="R346" s="168">
        <f t="shared" si="230"/>
        <v>3.1302032901234682</v>
      </c>
      <c r="S346" s="41">
        <f t="shared" si="226"/>
        <v>0</v>
      </c>
      <c r="T346" s="41">
        <f t="shared" si="227"/>
        <v>3.1302032901234682</v>
      </c>
    </row>
    <row r="347" spans="1:20" ht="34" x14ac:dyDescent="0.2">
      <c r="A347" s="64" t="s">
        <v>105</v>
      </c>
      <c r="B347" s="168">
        <f t="shared" ref="B347:Q347" si="241">B194*INDEX($B$222:$B$238,MATCH($A347,$A$222:$A$238,0),1)</f>
        <v>0</v>
      </c>
      <c r="C347" s="168">
        <f t="shared" si="241"/>
        <v>8.8765978446791585E-2</v>
      </c>
      <c r="D347" s="168">
        <f t="shared" si="241"/>
        <v>0</v>
      </c>
      <c r="E347" s="168">
        <f t="shared" si="241"/>
        <v>0</v>
      </c>
      <c r="F347" s="168">
        <f t="shared" si="241"/>
        <v>0</v>
      </c>
      <c r="G347" s="168">
        <f t="shared" si="241"/>
        <v>0</v>
      </c>
      <c r="H347" s="168">
        <f t="shared" si="241"/>
        <v>0</v>
      </c>
      <c r="I347" s="168">
        <f t="shared" si="241"/>
        <v>0</v>
      </c>
      <c r="J347" s="168">
        <f t="shared" si="241"/>
        <v>0</v>
      </c>
      <c r="K347" s="168">
        <f t="shared" si="241"/>
        <v>0</v>
      </c>
      <c r="L347" s="168">
        <f t="shared" si="241"/>
        <v>0</v>
      </c>
      <c r="M347" s="168">
        <f t="shared" si="241"/>
        <v>0</v>
      </c>
      <c r="N347" s="168">
        <f t="shared" si="241"/>
        <v>0</v>
      </c>
      <c r="O347" s="168">
        <f t="shared" si="241"/>
        <v>0</v>
      </c>
      <c r="P347" s="168">
        <f t="shared" si="241"/>
        <v>0.7154537862811402</v>
      </c>
      <c r="Q347" s="168">
        <f t="shared" si="241"/>
        <v>8.3440019739984064E-2</v>
      </c>
      <c r="R347" s="168">
        <f>SUM(C347:J347,L347:P347)</f>
        <v>0.80421976472793177</v>
      </c>
      <c r="S347" s="41">
        <f t="shared" si="226"/>
        <v>0</v>
      </c>
      <c r="T347" s="41">
        <f t="shared" si="227"/>
        <v>0.80421976472793177</v>
      </c>
    </row>
    <row r="348" spans="1:20" x14ac:dyDescent="0.2">
      <c r="A348" s="40" t="s">
        <v>576</v>
      </c>
      <c r="B348" s="168">
        <f t="shared" ref="B348:Q348" si="242">B195*INDEX($B$222:$B$238,MATCH($A348,$A$222:$A$238,0),1)</f>
        <v>9.4840057817554224E-2</v>
      </c>
      <c r="C348" s="168">
        <f t="shared" si="242"/>
        <v>0.85356052035798791</v>
      </c>
      <c r="D348" s="168">
        <f t="shared" si="242"/>
        <v>0</v>
      </c>
      <c r="E348" s="168">
        <f t="shared" si="242"/>
        <v>0.56904034690532523</v>
      </c>
      <c r="F348" s="168">
        <f t="shared" si="242"/>
        <v>0</v>
      </c>
      <c r="G348" s="168">
        <f t="shared" si="242"/>
        <v>9.4840057817554224E-2</v>
      </c>
      <c r="H348" s="168">
        <f t="shared" si="242"/>
        <v>0</v>
      </c>
      <c r="I348" s="168">
        <f t="shared" si="242"/>
        <v>0</v>
      </c>
      <c r="J348" s="168">
        <f t="shared" si="242"/>
        <v>0</v>
      </c>
      <c r="K348" s="168">
        <f t="shared" si="242"/>
        <v>9.4840057817554224E-2</v>
      </c>
      <c r="L348" s="168">
        <f t="shared" si="242"/>
        <v>0</v>
      </c>
      <c r="M348" s="168">
        <f t="shared" si="242"/>
        <v>0</v>
      </c>
      <c r="N348" s="168">
        <f t="shared" si="242"/>
        <v>0</v>
      </c>
      <c r="O348" s="168">
        <f t="shared" si="242"/>
        <v>0</v>
      </c>
      <c r="P348" s="168">
        <f t="shared" si="242"/>
        <v>0</v>
      </c>
      <c r="Q348" s="168">
        <f t="shared" si="242"/>
        <v>0.18968011563510817</v>
      </c>
      <c r="R348" s="168">
        <f t="shared" ref="R348:R349" si="243">SUM(C348:J348,L348:P348)</f>
        <v>1.5174409250808676</v>
      </c>
      <c r="S348" s="41">
        <f t="shared" si="226"/>
        <v>0</v>
      </c>
      <c r="T348" s="41">
        <f t="shared" si="227"/>
        <v>1.6122809828984219</v>
      </c>
    </row>
    <row r="349" spans="1:20" x14ac:dyDescent="0.2">
      <c r="A349" s="40" t="s">
        <v>575</v>
      </c>
      <c r="B349" s="168">
        <f t="shared" ref="B349:Q349" si="244">B196*INDEX($B$222:$B$238,MATCH($A349,$A$222:$A$238,0),1)</f>
        <v>4.1306993110025329E-2</v>
      </c>
      <c r="C349" s="168">
        <f t="shared" si="244"/>
        <v>0.37176293799022792</v>
      </c>
      <c r="D349" s="168">
        <f t="shared" si="244"/>
        <v>0</v>
      </c>
      <c r="E349" s="168">
        <f t="shared" si="244"/>
        <v>0.24784195866015193</v>
      </c>
      <c r="F349" s="168">
        <f t="shared" si="244"/>
        <v>0</v>
      </c>
      <c r="G349" s="168">
        <f t="shared" si="244"/>
        <v>4.1306993110025329E-2</v>
      </c>
      <c r="H349" s="168">
        <f t="shared" si="244"/>
        <v>0</v>
      </c>
      <c r="I349" s="168">
        <f t="shared" si="244"/>
        <v>0</v>
      </c>
      <c r="J349" s="168">
        <f t="shared" si="244"/>
        <v>0</v>
      </c>
      <c r="K349" s="168">
        <f t="shared" si="244"/>
        <v>4.1306993110025329E-2</v>
      </c>
      <c r="L349" s="168">
        <f t="shared" si="244"/>
        <v>0</v>
      </c>
      <c r="M349" s="168">
        <f t="shared" si="244"/>
        <v>0</v>
      </c>
      <c r="N349" s="168">
        <f t="shared" si="244"/>
        <v>0</v>
      </c>
      <c r="O349" s="168">
        <f t="shared" si="244"/>
        <v>0</v>
      </c>
      <c r="P349" s="168">
        <f t="shared" si="244"/>
        <v>0</v>
      </c>
      <c r="Q349" s="168">
        <f t="shared" si="244"/>
        <v>8.2613986220050534E-2</v>
      </c>
      <c r="R349" s="168">
        <f t="shared" si="243"/>
        <v>0.66091188976040516</v>
      </c>
      <c r="S349" s="41">
        <f t="shared" si="226"/>
        <v>0</v>
      </c>
      <c r="T349" s="41">
        <f t="shared" si="227"/>
        <v>0.70221888287043044</v>
      </c>
    </row>
    <row r="350" spans="1:20" x14ac:dyDescent="0.2">
      <c r="A350" s="2"/>
    </row>
    <row r="351" spans="1:20" x14ac:dyDescent="0.2">
      <c r="A351" s="68" t="s">
        <v>350</v>
      </c>
    </row>
    <row r="352" spans="1:20" ht="68" x14ac:dyDescent="0.2">
      <c r="A352" s="62" t="s">
        <v>212</v>
      </c>
      <c r="B352" s="63" t="s">
        <v>213</v>
      </c>
      <c r="C352" s="63" t="s">
        <v>215</v>
      </c>
      <c r="D352" s="63" t="s">
        <v>216</v>
      </c>
      <c r="E352" s="63" t="s">
        <v>217</v>
      </c>
      <c r="F352" s="63" t="s">
        <v>218</v>
      </c>
      <c r="G352" s="63" t="s">
        <v>219</v>
      </c>
      <c r="H352" s="63" t="s">
        <v>302</v>
      </c>
      <c r="I352" s="63" t="s">
        <v>220</v>
      </c>
      <c r="J352" s="63" t="s">
        <v>221</v>
      </c>
      <c r="K352" s="63" t="s">
        <v>222</v>
      </c>
      <c r="L352" s="63" t="s">
        <v>223</v>
      </c>
      <c r="M352" s="63" t="s">
        <v>224</v>
      </c>
      <c r="N352" s="63" t="s">
        <v>225</v>
      </c>
      <c r="O352" s="63" t="s">
        <v>226</v>
      </c>
      <c r="P352" s="63" t="s">
        <v>279</v>
      </c>
      <c r="Q352" s="62" t="s">
        <v>6</v>
      </c>
      <c r="R352" s="63" t="s">
        <v>278</v>
      </c>
      <c r="S352" s="73" t="s">
        <v>110</v>
      </c>
      <c r="T352" s="73" t="s">
        <v>191</v>
      </c>
    </row>
    <row r="353" spans="1:20" ht="17" x14ac:dyDescent="0.2">
      <c r="A353" s="64" t="s">
        <v>82</v>
      </c>
      <c r="B353" s="168">
        <f>B200*INDEX($B$222:$B$238,MATCH($A353,$A$222:$A$238,0),1)</f>
        <v>0</v>
      </c>
      <c r="C353" s="168">
        <f t="shared" ref="C353:Q353" si="245">C200*INDEX($B$222:$B$238,MATCH($A353,$A$222:$A$238,0),1)</f>
        <v>0</v>
      </c>
      <c r="D353" s="168">
        <f t="shared" si="245"/>
        <v>0</v>
      </c>
      <c r="E353" s="168">
        <f t="shared" si="245"/>
        <v>10.183454446093013</v>
      </c>
      <c r="F353" s="168">
        <f t="shared" si="245"/>
        <v>1.629352711374882</v>
      </c>
      <c r="G353" s="168">
        <f t="shared" si="245"/>
        <v>3.0550363338279038</v>
      </c>
      <c r="H353" s="168">
        <f t="shared" si="245"/>
        <v>0</v>
      </c>
      <c r="I353" s="168">
        <f t="shared" si="245"/>
        <v>1.4256836224530218</v>
      </c>
      <c r="J353" s="168">
        <f t="shared" si="245"/>
        <v>0</v>
      </c>
      <c r="K353" s="168">
        <f t="shared" si="245"/>
        <v>0</v>
      </c>
      <c r="L353" s="168">
        <f t="shared" si="245"/>
        <v>3.0550363338279038</v>
      </c>
      <c r="M353" s="168">
        <f t="shared" si="245"/>
        <v>1.0183454446093012</v>
      </c>
      <c r="N353" s="168">
        <f t="shared" si="245"/>
        <v>0</v>
      </c>
      <c r="O353" s="168">
        <f t="shared" si="245"/>
        <v>0</v>
      </c>
      <c r="P353" s="168">
        <f t="shared" si="245"/>
        <v>0</v>
      </c>
      <c r="Q353" s="168">
        <f t="shared" si="245"/>
        <v>0</v>
      </c>
      <c r="R353" s="168">
        <f>SUM(C353:J353,L353:O353)</f>
        <v>20.366908892186025</v>
      </c>
      <c r="S353" s="41">
        <f>SUM(B353:Q353)-INDEX($B$222:$B$238,MATCH($A353,$A$222:$A$238,0),1)</f>
        <v>0</v>
      </c>
      <c r="T353" s="41">
        <f>SUM(C353:P353)</f>
        <v>20.366908892186025</v>
      </c>
    </row>
    <row r="354" spans="1:20" ht="17" x14ac:dyDescent="0.2">
      <c r="A354" s="64" t="s">
        <v>127</v>
      </c>
      <c r="B354" s="168">
        <f t="shared" ref="B354:Q354" si="246">B201*INDEX($B$222:$B$238,MATCH($A354,$A$222:$A$238,0),1)</f>
        <v>0</v>
      </c>
      <c r="C354" s="168">
        <f t="shared" si="246"/>
        <v>0</v>
      </c>
      <c r="D354" s="168">
        <f t="shared" si="246"/>
        <v>0</v>
      </c>
      <c r="E354" s="168">
        <f t="shared" si="246"/>
        <v>1.5203687684488671</v>
      </c>
      <c r="F354" s="168">
        <f t="shared" si="246"/>
        <v>0</v>
      </c>
      <c r="G354" s="168">
        <f t="shared" si="246"/>
        <v>0.19004609605610839</v>
      </c>
      <c r="H354" s="168">
        <f t="shared" si="246"/>
        <v>0</v>
      </c>
      <c r="I354" s="168">
        <f t="shared" si="246"/>
        <v>0</v>
      </c>
      <c r="J354" s="168">
        <f t="shared" si="246"/>
        <v>0</v>
      </c>
      <c r="K354" s="168">
        <f t="shared" si="246"/>
        <v>0</v>
      </c>
      <c r="L354" s="168">
        <f t="shared" si="246"/>
        <v>0.19004609605610839</v>
      </c>
      <c r="M354" s="168">
        <f t="shared" si="246"/>
        <v>0</v>
      </c>
      <c r="N354" s="168">
        <f t="shared" si="246"/>
        <v>0</v>
      </c>
      <c r="O354" s="168">
        <f t="shared" si="246"/>
        <v>0</v>
      </c>
      <c r="P354" s="168">
        <f t="shared" si="246"/>
        <v>0</v>
      </c>
      <c r="Q354" s="168">
        <f t="shared" si="246"/>
        <v>0</v>
      </c>
      <c r="R354" s="168">
        <f>SUM(C354:O354)</f>
        <v>1.9004609605610838</v>
      </c>
      <c r="S354" s="41">
        <f t="shared" ref="S354:S369" si="247">SUM(B354:Q354)-INDEX($B$222:$B$238,MATCH($A354,$A$222:$A$238,0),1)</f>
        <v>0</v>
      </c>
      <c r="T354" s="41">
        <f t="shared" ref="T354:T369" si="248">SUM(C354:P354)</f>
        <v>1.9004609605610838</v>
      </c>
    </row>
    <row r="355" spans="1:20" ht="17" x14ac:dyDescent="0.2">
      <c r="A355" s="64" t="s">
        <v>8</v>
      </c>
      <c r="B355" s="168">
        <f t="shared" ref="B355:Q355" si="249">B202*INDEX($B$222:$B$238,MATCH($A355,$A$222:$A$238,0),1)</f>
        <v>0</v>
      </c>
      <c r="C355" s="168">
        <f t="shared" si="249"/>
        <v>1.9364381155202359</v>
      </c>
      <c r="D355" s="168">
        <f t="shared" si="249"/>
        <v>0</v>
      </c>
      <c r="E355" s="168">
        <f t="shared" si="249"/>
        <v>0</v>
      </c>
      <c r="F355" s="168">
        <f t="shared" si="249"/>
        <v>0</v>
      </c>
      <c r="G355" s="168">
        <f t="shared" si="249"/>
        <v>0</v>
      </c>
      <c r="H355" s="168">
        <f t="shared" si="249"/>
        <v>0</v>
      </c>
      <c r="I355" s="168">
        <f t="shared" si="249"/>
        <v>0</v>
      </c>
      <c r="J355" s="168">
        <f t="shared" si="249"/>
        <v>0</v>
      </c>
      <c r="K355" s="168">
        <f t="shared" si="249"/>
        <v>0</v>
      </c>
      <c r="L355" s="168">
        <f t="shared" si="249"/>
        <v>0</v>
      </c>
      <c r="M355" s="168">
        <f t="shared" si="249"/>
        <v>0</v>
      </c>
      <c r="N355" s="168">
        <f t="shared" si="249"/>
        <v>0</v>
      </c>
      <c r="O355" s="168">
        <f t="shared" si="249"/>
        <v>0</v>
      </c>
      <c r="P355" s="168">
        <f t="shared" si="249"/>
        <v>0</v>
      </c>
      <c r="Q355" s="168">
        <f t="shared" si="249"/>
        <v>0</v>
      </c>
      <c r="R355" s="168">
        <f>SUM(C355:J355,L355:O355)</f>
        <v>1.9364381155202359</v>
      </c>
      <c r="S355" s="41">
        <f t="shared" si="247"/>
        <v>0</v>
      </c>
      <c r="T355" s="41">
        <f t="shared" si="248"/>
        <v>1.9364381155202359</v>
      </c>
    </row>
    <row r="356" spans="1:20" ht="17" x14ac:dyDescent="0.2">
      <c r="A356" s="64" t="s">
        <v>19</v>
      </c>
      <c r="B356" s="168">
        <f t="shared" ref="B356:Q356" si="250">B203*INDEX($B$222:$B$238,MATCH($A356,$A$222:$A$238,0),1)</f>
        <v>0</v>
      </c>
      <c r="C356" s="168">
        <f t="shared" si="250"/>
        <v>1.6802864513959233</v>
      </c>
      <c r="D356" s="168">
        <f t="shared" si="250"/>
        <v>0</v>
      </c>
      <c r="E356" s="168">
        <f t="shared" si="250"/>
        <v>0</v>
      </c>
      <c r="F356" s="168">
        <f t="shared" si="250"/>
        <v>0</v>
      </c>
      <c r="G356" s="168">
        <f t="shared" si="250"/>
        <v>0</v>
      </c>
      <c r="H356" s="168">
        <f t="shared" si="250"/>
        <v>0</v>
      </c>
      <c r="I356" s="168">
        <f t="shared" si="250"/>
        <v>0</v>
      </c>
      <c r="J356" s="168">
        <f t="shared" si="250"/>
        <v>0</v>
      </c>
      <c r="K356" s="168">
        <f t="shared" si="250"/>
        <v>0</v>
      </c>
      <c r="L356" s="168">
        <f t="shared" si="250"/>
        <v>0</v>
      </c>
      <c r="M356" s="168">
        <f t="shared" si="250"/>
        <v>0</v>
      </c>
      <c r="N356" s="168">
        <f t="shared" si="250"/>
        <v>0</v>
      </c>
      <c r="O356" s="168">
        <f t="shared" si="250"/>
        <v>0</v>
      </c>
      <c r="P356" s="168">
        <f t="shared" si="250"/>
        <v>0</v>
      </c>
      <c r="Q356" s="168">
        <f t="shared" si="250"/>
        <v>0</v>
      </c>
      <c r="R356" s="168">
        <f t="shared" ref="R356:R366" si="251">SUM(C356:J356,L356:O356)</f>
        <v>1.6802864513959233</v>
      </c>
      <c r="S356" s="41">
        <f t="shared" si="247"/>
        <v>0</v>
      </c>
      <c r="T356" s="41">
        <f t="shared" si="248"/>
        <v>1.6802864513959233</v>
      </c>
    </row>
    <row r="357" spans="1:20" ht="17" x14ac:dyDescent="0.2">
      <c r="A357" s="64" t="s">
        <v>1</v>
      </c>
      <c r="B357" s="168">
        <f t="shared" ref="B357:Q357" si="252">B204*INDEX($B$222:$B$238,MATCH($A357,$A$222:$A$238,0),1)</f>
        <v>0</v>
      </c>
      <c r="C357" s="168">
        <f t="shared" si="252"/>
        <v>2.3497989510357531</v>
      </c>
      <c r="D357" s="168">
        <f t="shared" si="252"/>
        <v>0</v>
      </c>
      <c r="E357" s="168">
        <f t="shared" si="252"/>
        <v>0</v>
      </c>
      <c r="F357" s="168">
        <f t="shared" si="252"/>
        <v>0</v>
      </c>
      <c r="G357" s="168">
        <f t="shared" si="252"/>
        <v>0</v>
      </c>
      <c r="H357" s="168">
        <f t="shared" si="252"/>
        <v>0</v>
      </c>
      <c r="I357" s="168">
        <f t="shared" si="252"/>
        <v>0</v>
      </c>
      <c r="J357" s="168">
        <f t="shared" si="252"/>
        <v>0</v>
      </c>
      <c r="K357" s="168">
        <f t="shared" si="252"/>
        <v>0</v>
      </c>
      <c r="L357" s="168">
        <f t="shared" si="252"/>
        <v>0</v>
      </c>
      <c r="M357" s="168">
        <f t="shared" si="252"/>
        <v>0</v>
      </c>
      <c r="N357" s="168">
        <f t="shared" si="252"/>
        <v>0</v>
      </c>
      <c r="O357" s="168">
        <f t="shared" si="252"/>
        <v>0</v>
      </c>
      <c r="P357" s="168">
        <f t="shared" si="252"/>
        <v>0</v>
      </c>
      <c r="Q357" s="168">
        <f t="shared" si="252"/>
        <v>0</v>
      </c>
      <c r="R357" s="168">
        <f t="shared" si="251"/>
        <v>2.3497989510357531</v>
      </c>
      <c r="S357" s="41">
        <f t="shared" si="247"/>
        <v>0</v>
      </c>
      <c r="T357" s="41">
        <f t="shared" si="248"/>
        <v>2.3497989510357531</v>
      </c>
    </row>
    <row r="358" spans="1:20" ht="17" x14ac:dyDescent="0.2">
      <c r="A358" s="64" t="s">
        <v>10</v>
      </c>
      <c r="B358" s="168">
        <f t="shared" ref="B358:Q358" si="253">B205*INDEX($B$222:$B$238,MATCH($A358,$A$222:$A$238,0),1)</f>
        <v>0</v>
      </c>
      <c r="C358" s="168">
        <f t="shared" si="253"/>
        <v>0.36150292806583362</v>
      </c>
      <c r="D358" s="168">
        <f t="shared" si="253"/>
        <v>0</v>
      </c>
      <c r="E358" s="168">
        <f t="shared" si="253"/>
        <v>0</v>
      </c>
      <c r="F358" s="168">
        <f t="shared" si="253"/>
        <v>0</v>
      </c>
      <c r="G358" s="168">
        <f t="shared" si="253"/>
        <v>0</v>
      </c>
      <c r="H358" s="168">
        <f t="shared" si="253"/>
        <v>0</v>
      </c>
      <c r="I358" s="168">
        <f t="shared" si="253"/>
        <v>0</v>
      </c>
      <c r="J358" s="168">
        <f t="shared" si="253"/>
        <v>0</v>
      </c>
      <c r="K358" s="168">
        <f t="shared" si="253"/>
        <v>0</v>
      </c>
      <c r="L358" s="168">
        <f t="shared" si="253"/>
        <v>0</v>
      </c>
      <c r="M358" s="168">
        <f t="shared" si="253"/>
        <v>0</v>
      </c>
      <c r="N358" s="168">
        <f t="shared" si="253"/>
        <v>1.4460117122633345</v>
      </c>
      <c r="O358" s="168">
        <f t="shared" si="253"/>
        <v>0</v>
      </c>
      <c r="P358" s="168">
        <f t="shared" si="253"/>
        <v>0</v>
      </c>
      <c r="Q358" s="168">
        <f t="shared" si="253"/>
        <v>0</v>
      </c>
      <c r="R358" s="168">
        <f t="shared" si="251"/>
        <v>1.8075146403291682</v>
      </c>
      <c r="S358" s="41">
        <f t="shared" si="247"/>
        <v>0</v>
      </c>
      <c r="T358" s="41">
        <f t="shared" si="248"/>
        <v>1.8075146403291682</v>
      </c>
    </row>
    <row r="359" spans="1:20" ht="17" x14ac:dyDescent="0.2">
      <c r="A359" s="64" t="s">
        <v>11</v>
      </c>
      <c r="B359" s="168">
        <f t="shared" ref="B359:Q359" si="254">B206*INDEX($B$222:$B$238,MATCH($A359,$A$222:$A$238,0),1)</f>
        <v>0</v>
      </c>
      <c r="C359" s="168">
        <f t="shared" si="254"/>
        <v>0.33724851550185575</v>
      </c>
      <c r="D359" s="168">
        <f t="shared" si="254"/>
        <v>0</v>
      </c>
      <c r="E359" s="168">
        <f t="shared" si="254"/>
        <v>0</v>
      </c>
      <c r="F359" s="168">
        <f t="shared" si="254"/>
        <v>0</v>
      </c>
      <c r="G359" s="168">
        <f t="shared" si="254"/>
        <v>0</v>
      </c>
      <c r="H359" s="168">
        <f t="shared" si="254"/>
        <v>0</v>
      </c>
      <c r="I359" s="168">
        <f t="shared" si="254"/>
        <v>0</v>
      </c>
      <c r="J359" s="168">
        <f t="shared" si="254"/>
        <v>0</v>
      </c>
      <c r="K359" s="168">
        <f t="shared" si="254"/>
        <v>0</v>
      </c>
      <c r="L359" s="168">
        <f t="shared" si="254"/>
        <v>0</v>
      </c>
      <c r="M359" s="168">
        <f t="shared" si="254"/>
        <v>0</v>
      </c>
      <c r="N359" s="168">
        <f t="shared" si="254"/>
        <v>0</v>
      </c>
      <c r="O359" s="168">
        <f t="shared" si="254"/>
        <v>1.348994062007423</v>
      </c>
      <c r="P359" s="168">
        <f t="shared" si="254"/>
        <v>0</v>
      </c>
      <c r="Q359" s="168">
        <f t="shared" si="254"/>
        <v>0</v>
      </c>
      <c r="R359" s="168">
        <f t="shared" si="251"/>
        <v>1.6862425775092786</v>
      </c>
      <c r="S359" s="41">
        <f t="shared" si="247"/>
        <v>0</v>
      </c>
      <c r="T359" s="41">
        <f t="shared" si="248"/>
        <v>1.6862425775092786</v>
      </c>
    </row>
    <row r="360" spans="1:20" ht="17" x14ac:dyDescent="0.2">
      <c r="A360" s="64" t="s">
        <v>25</v>
      </c>
      <c r="B360" s="168">
        <f t="shared" ref="B360:Q360" si="255">B207*INDEX($B$222:$B$238,MATCH($A360,$A$222:$A$238,0),1)</f>
        <v>0</v>
      </c>
      <c r="C360" s="168">
        <f t="shared" si="255"/>
        <v>0.34631661835866367</v>
      </c>
      <c r="D360" s="168">
        <f t="shared" si="255"/>
        <v>0</v>
      </c>
      <c r="E360" s="168">
        <f t="shared" si="255"/>
        <v>0</v>
      </c>
      <c r="F360" s="168">
        <f t="shared" si="255"/>
        <v>0</v>
      </c>
      <c r="G360" s="168">
        <f t="shared" si="255"/>
        <v>0</v>
      </c>
      <c r="H360" s="168">
        <f t="shared" si="255"/>
        <v>0</v>
      </c>
      <c r="I360" s="168">
        <f t="shared" si="255"/>
        <v>0</v>
      </c>
      <c r="J360" s="168">
        <f t="shared" si="255"/>
        <v>0</v>
      </c>
      <c r="K360" s="168">
        <f t="shared" si="255"/>
        <v>0</v>
      </c>
      <c r="L360" s="168">
        <f t="shared" si="255"/>
        <v>0</v>
      </c>
      <c r="M360" s="168">
        <f t="shared" si="255"/>
        <v>0</v>
      </c>
      <c r="N360" s="168">
        <f t="shared" si="255"/>
        <v>0</v>
      </c>
      <c r="O360" s="168">
        <f t="shared" si="255"/>
        <v>1.3852664734346547</v>
      </c>
      <c r="P360" s="168">
        <f t="shared" si="255"/>
        <v>0</v>
      </c>
      <c r="Q360" s="168">
        <f t="shared" si="255"/>
        <v>0</v>
      </c>
      <c r="R360" s="168">
        <f t="shared" si="251"/>
        <v>1.7315830917933184</v>
      </c>
      <c r="S360" s="41">
        <f t="shared" si="247"/>
        <v>0</v>
      </c>
      <c r="T360" s="41">
        <f t="shared" si="248"/>
        <v>1.7315830917933184</v>
      </c>
    </row>
    <row r="361" spans="1:20" ht="17" x14ac:dyDescent="0.2">
      <c r="A361" s="64" t="s">
        <v>7</v>
      </c>
      <c r="B361" s="168">
        <f t="shared" ref="B361:Q361" si="256">B208*INDEX($B$222:$B$238,MATCH($A361,$A$222:$A$238,0),1)</f>
        <v>0</v>
      </c>
      <c r="C361" s="168">
        <f t="shared" si="256"/>
        <v>1.7718467934328523</v>
      </c>
      <c r="D361" s="168">
        <f t="shared" si="256"/>
        <v>0</v>
      </c>
      <c r="E361" s="168">
        <f t="shared" si="256"/>
        <v>0</v>
      </c>
      <c r="F361" s="168">
        <f t="shared" si="256"/>
        <v>0</v>
      </c>
      <c r="G361" s="168">
        <f t="shared" si="256"/>
        <v>0</v>
      </c>
      <c r="H361" s="168">
        <f t="shared" si="256"/>
        <v>0</v>
      </c>
      <c r="I361" s="168">
        <f t="shared" si="256"/>
        <v>0</v>
      </c>
      <c r="J361" s="168">
        <f t="shared" si="256"/>
        <v>0</v>
      </c>
      <c r="K361" s="168">
        <f t="shared" si="256"/>
        <v>0</v>
      </c>
      <c r="L361" s="168">
        <f t="shared" si="256"/>
        <v>0</v>
      </c>
      <c r="M361" s="168">
        <f t="shared" si="256"/>
        <v>0</v>
      </c>
      <c r="N361" s="168">
        <f t="shared" si="256"/>
        <v>0</v>
      </c>
      <c r="O361" s="168">
        <f t="shared" si="256"/>
        <v>0</v>
      </c>
      <c r="P361" s="168">
        <f t="shared" si="256"/>
        <v>0</v>
      </c>
      <c r="Q361" s="168">
        <f t="shared" si="256"/>
        <v>0</v>
      </c>
      <c r="R361" s="168">
        <f t="shared" si="251"/>
        <v>1.7718467934328523</v>
      </c>
      <c r="S361" s="41">
        <f t="shared" si="247"/>
        <v>0</v>
      </c>
      <c r="T361" s="41">
        <f t="shared" si="248"/>
        <v>1.7718467934328523</v>
      </c>
    </row>
    <row r="362" spans="1:20" ht="17" x14ac:dyDescent="0.2">
      <c r="A362" s="64" t="s">
        <v>2</v>
      </c>
      <c r="B362" s="168">
        <f t="shared" ref="B362:Q362" si="257">B209*INDEX($B$222:$B$238,MATCH($A362,$A$222:$A$238,0),1)</f>
        <v>0</v>
      </c>
      <c r="C362" s="168">
        <f t="shared" si="257"/>
        <v>0.95347343950205043</v>
      </c>
      <c r="D362" s="168">
        <f t="shared" si="257"/>
        <v>0.26697256306057415</v>
      </c>
      <c r="E362" s="168">
        <f t="shared" si="257"/>
        <v>0.61022300128131224</v>
      </c>
      <c r="F362" s="168">
        <f t="shared" si="257"/>
        <v>0.26697256306057415</v>
      </c>
      <c r="G362" s="168">
        <f t="shared" si="257"/>
        <v>0.45766725096098421</v>
      </c>
      <c r="H362" s="168">
        <f t="shared" si="257"/>
        <v>0.38138937580082022</v>
      </c>
      <c r="I362" s="168">
        <f t="shared" si="257"/>
        <v>0.26697256306057415</v>
      </c>
      <c r="J362" s="168">
        <f t="shared" si="257"/>
        <v>0.61022300128131224</v>
      </c>
      <c r="K362" s="168">
        <f t="shared" si="257"/>
        <v>0</v>
      </c>
      <c r="L362" s="168">
        <f t="shared" si="257"/>
        <v>0</v>
      </c>
      <c r="M362" s="168">
        <f t="shared" si="257"/>
        <v>0</v>
      </c>
      <c r="N362" s="168">
        <f t="shared" si="257"/>
        <v>0</v>
      </c>
      <c r="O362" s="168">
        <f t="shared" si="257"/>
        <v>0</v>
      </c>
      <c r="P362" s="168">
        <f t="shared" si="257"/>
        <v>0</v>
      </c>
      <c r="Q362" s="168">
        <f t="shared" si="257"/>
        <v>0</v>
      </c>
      <c r="R362" s="168">
        <f t="shared" si="251"/>
        <v>3.8138937580082022</v>
      </c>
      <c r="S362" s="41">
        <f t="shared" si="247"/>
        <v>0</v>
      </c>
      <c r="T362" s="41">
        <f t="shared" si="248"/>
        <v>3.8138937580082022</v>
      </c>
    </row>
    <row r="363" spans="1:20" ht="17" x14ac:dyDescent="0.2">
      <c r="A363" s="64" t="s">
        <v>30</v>
      </c>
      <c r="B363" s="168">
        <f t="shared" ref="B363:Q363" si="258">B210*INDEX($B$222:$B$238,MATCH($A363,$A$222:$A$238,0),1)</f>
        <v>0</v>
      </c>
      <c r="C363" s="168">
        <f t="shared" si="258"/>
        <v>0.57769593639603567</v>
      </c>
      <c r="D363" s="168">
        <f t="shared" si="258"/>
        <v>0</v>
      </c>
      <c r="E363" s="168">
        <f t="shared" si="258"/>
        <v>0.11553918727920715</v>
      </c>
      <c r="F363" s="168">
        <f t="shared" si="258"/>
        <v>0</v>
      </c>
      <c r="G363" s="168">
        <f t="shared" si="258"/>
        <v>0</v>
      </c>
      <c r="H363" s="168">
        <f t="shared" si="258"/>
        <v>0</v>
      </c>
      <c r="I363" s="168">
        <f t="shared" si="258"/>
        <v>0</v>
      </c>
      <c r="J363" s="168">
        <f t="shared" si="258"/>
        <v>0.40438715547722492</v>
      </c>
      <c r="K363" s="168">
        <f t="shared" si="258"/>
        <v>0</v>
      </c>
      <c r="L363" s="168">
        <f t="shared" si="258"/>
        <v>5.7769593639603573E-2</v>
      </c>
      <c r="M363" s="168">
        <f t="shared" si="258"/>
        <v>0</v>
      </c>
      <c r="N363" s="168">
        <f t="shared" si="258"/>
        <v>0</v>
      </c>
      <c r="O363" s="168">
        <f t="shared" si="258"/>
        <v>0</v>
      </c>
      <c r="P363" s="168">
        <f t="shared" si="258"/>
        <v>0</v>
      </c>
      <c r="Q363" s="168">
        <f t="shared" si="258"/>
        <v>0</v>
      </c>
      <c r="R363" s="168">
        <f t="shared" si="251"/>
        <v>1.1553918727920713</v>
      </c>
      <c r="S363" s="41">
        <f t="shared" si="247"/>
        <v>0</v>
      </c>
      <c r="T363" s="41">
        <f t="shared" si="248"/>
        <v>1.1553918727920713</v>
      </c>
    </row>
    <row r="364" spans="1:20" ht="17" x14ac:dyDescent="0.2">
      <c r="A364" s="64" t="s">
        <v>31</v>
      </c>
      <c r="B364" s="168">
        <f t="shared" ref="B364:Q364" si="259">B211*INDEX($B$222:$B$238,MATCH($A364,$A$222:$A$238,0),1)</f>
        <v>0</v>
      </c>
      <c r="C364" s="168">
        <f t="shared" si="259"/>
        <v>0.98084169246820285</v>
      </c>
      <c r="D364" s="168">
        <f t="shared" si="259"/>
        <v>0</v>
      </c>
      <c r="E364" s="168">
        <f t="shared" si="259"/>
        <v>0</v>
      </c>
      <c r="F364" s="168">
        <f t="shared" si="259"/>
        <v>0</v>
      </c>
      <c r="G364" s="168">
        <f t="shared" si="259"/>
        <v>0</v>
      </c>
      <c r="H364" s="168">
        <f t="shared" si="259"/>
        <v>0</v>
      </c>
      <c r="I364" s="168">
        <f t="shared" si="259"/>
        <v>0</v>
      </c>
      <c r="J364" s="168">
        <f t="shared" si="259"/>
        <v>0</v>
      </c>
      <c r="K364" s="168">
        <f t="shared" si="259"/>
        <v>0</v>
      </c>
      <c r="L364" s="168">
        <f t="shared" si="259"/>
        <v>0</v>
      </c>
      <c r="M364" s="168">
        <f t="shared" si="259"/>
        <v>0</v>
      </c>
      <c r="N364" s="168">
        <f t="shared" si="259"/>
        <v>0</v>
      </c>
      <c r="O364" s="168">
        <f t="shared" si="259"/>
        <v>0</v>
      </c>
      <c r="P364" s="168">
        <f t="shared" si="259"/>
        <v>0</v>
      </c>
      <c r="Q364" s="168">
        <f t="shared" si="259"/>
        <v>0</v>
      </c>
      <c r="R364" s="168">
        <f t="shared" si="251"/>
        <v>0.98084169246820285</v>
      </c>
      <c r="S364" s="41">
        <f t="shared" si="247"/>
        <v>0</v>
      </c>
      <c r="T364" s="41">
        <f t="shared" si="248"/>
        <v>0.98084169246820285</v>
      </c>
    </row>
    <row r="365" spans="1:20" ht="17" x14ac:dyDescent="0.2">
      <c r="A365" s="64" t="s">
        <v>122</v>
      </c>
      <c r="B365" s="168">
        <f t="shared" ref="B365:Q365" si="260">B212*INDEX($B$222:$B$238,MATCH($A365,$A$222:$A$238,0),1)</f>
        <v>0</v>
      </c>
      <c r="C365" s="168">
        <f t="shared" si="260"/>
        <v>0</v>
      </c>
      <c r="D365" s="168">
        <f t="shared" si="260"/>
        <v>0.14765508081627438</v>
      </c>
      <c r="E365" s="168">
        <f t="shared" si="260"/>
        <v>0.236248129306039</v>
      </c>
      <c r="F365" s="168">
        <f t="shared" si="260"/>
        <v>0</v>
      </c>
      <c r="G365" s="168">
        <f t="shared" si="260"/>
        <v>0.20671711314278413</v>
      </c>
      <c r="H365" s="168">
        <f t="shared" si="260"/>
        <v>0</v>
      </c>
      <c r="I365" s="168">
        <f t="shared" si="260"/>
        <v>0</v>
      </c>
      <c r="J365" s="168">
        <f t="shared" si="260"/>
        <v>0</v>
      </c>
      <c r="K365" s="168">
        <f t="shared" si="260"/>
        <v>0</v>
      </c>
      <c r="L365" s="168">
        <f t="shared" si="260"/>
        <v>0</v>
      </c>
      <c r="M365" s="168">
        <f t="shared" si="260"/>
        <v>0</v>
      </c>
      <c r="N365" s="168">
        <f t="shared" si="260"/>
        <v>0</v>
      </c>
      <c r="O365" s="168">
        <f t="shared" si="260"/>
        <v>0</v>
      </c>
      <c r="P365" s="168">
        <f t="shared" si="260"/>
        <v>0</v>
      </c>
      <c r="Q365" s="168">
        <f t="shared" si="260"/>
        <v>0</v>
      </c>
      <c r="R365" s="168">
        <f t="shared" si="251"/>
        <v>0.5906203232650975</v>
      </c>
      <c r="S365" s="41">
        <f t="shared" si="247"/>
        <v>0</v>
      </c>
      <c r="T365" s="41">
        <f t="shared" si="248"/>
        <v>0.5906203232650975</v>
      </c>
    </row>
    <row r="366" spans="1:20" ht="17" x14ac:dyDescent="0.2">
      <c r="A366" s="64" t="s">
        <v>32</v>
      </c>
      <c r="B366" s="168">
        <f t="shared" ref="B366:Q366" si="261">B213*INDEX($B$222:$B$238,MATCH($A366,$A$222:$A$238,0),1)</f>
        <v>0</v>
      </c>
      <c r="C366" s="168">
        <f t="shared" si="261"/>
        <v>1.3912014622770967</v>
      </c>
      <c r="D366" s="168">
        <f t="shared" si="261"/>
        <v>0</v>
      </c>
      <c r="E366" s="168">
        <f t="shared" si="261"/>
        <v>0.48692051179698387</v>
      </c>
      <c r="F366" s="168">
        <f t="shared" si="261"/>
        <v>0</v>
      </c>
      <c r="G366" s="168">
        <f t="shared" si="261"/>
        <v>0.69560073113854837</v>
      </c>
      <c r="H366" s="168">
        <f t="shared" si="261"/>
        <v>0</v>
      </c>
      <c r="I366" s="168">
        <f t="shared" si="261"/>
        <v>0.45214047524005641</v>
      </c>
      <c r="J366" s="168">
        <f t="shared" si="261"/>
        <v>0.45214047524005641</v>
      </c>
      <c r="K366" s="168">
        <f t="shared" si="261"/>
        <v>0</v>
      </c>
      <c r="L366" s="168">
        <f t="shared" si="261"/>
        <v>0</v>
      </c>
      <c r="M366" s="168">
        <f t="shared" si="261"/>
        <v>0</v>
      </c>
      <c r="N366" s="168">
        <f t="shared" si="261"/>
        <v>0</v>
      </c>
      <c r="O366" s="168">
        <f t="shared" si="261"/>
        <v>0</v>
      </c>
      <c r="P366" s="168">
        <f t="shared" si="261"/>
        <v>0</v>
      </c>
      <c r="Q366" s="168">
        <f t="shared" si="261"/>
        <v>0</v>
      </c>
      <c r="R366" s="168">
        <f t="shared" si="251"/>
        <v>3.4780036556927412</v>
      </c>
      <c r="S366" s="41">
        <f t="shared" si="247"/>
        <v>0</v>
      </c>
      <c r="T366" s="41">
        <f t="shared" si="248"/>
        <v>3.4780036556927412</v>
      </c>
    </row>
    <row r="367" spans="1:20" ht="34" x14ac:dyDescent="0.2">
      <c r="A367" s="64" t="s">
        <v>105</v>
      </c>
      <c r="B367" s="168">
        <f t="shared" ref="B367:Q367" si="262">B214*INDEX($B$222:$B$238,MATCH($A367,$A$222:$A$238,0),1)</f>
        <v>0</v>
      </c>
      <c r="C367" s="168">
        <f t="shared" si="262"/>
        <v>0.168655359048904</v>
      </c>
      <c r="D367" s="168">
        <f t="shared" si="262"/>
        <v>0</v>
      </c>
      <c r="E367" s="168">
        <f t="shared" si="262"/>
        <v>0</v>
      </c>
      <c r="F367" s="168">
        <f t="shared" si="262"/>
        <v>0</v>
      </c>
      <c r="G367" s="168">
        <f t="shared" si="262"/>
        <v>0</v>
      </c>
      <c r="H367" s="168">
        <f t="shared" si="262"/>
        <v>0</v>
      </c>
      <c r="I367" s="168">
        <f t="shared" si="262"/>
        <v>0</v>
      </c>
      <c r="J367" s="168">
        <f t="shared" si="262"/>
        <v>0</v>
      </c>
      <c r="K367" s="168">
        <f t="shared" si="262"/>
        <v>0</v>
      </c>
      <c r="L367" s="168">
        <f t="shared" si="262"/>
        <v>0</v>
      </c>
      <c r="M367" s="168">
        <f t="shared" si="262"/>
        <v>0</v>
      </c>
      <c r="N367" s="168">
        <f t="shared" si="262"/>
        <v>0</v>
      </c>
      <c r="O367" s="168">
        <f t="shared" si="262"/>
        <v>0</v>
      </c>
      <c r="P367" s="168">
        <f t="shared" si="262"/>
        <v>0.71900442541901188</v>
      </c>
      <c r="Q367" s="168">
        <f t="shared" si="262"/>
        <v>0</v>
      </c>
      <c r="R367" s="168">
        <f>SUM(C367:J367,L367:P367)</f>
        <v>0.88765978446791594</v>
      </c>
      <c r="S367" s="41">
        <f t="shared" si="247"/>
        <v>0</v>
      </c>
      <c r="T367" s="41">
        <f t="shared" si="248"/>
        <v>0.88765978446791594</v>
      </c>
    </row>
    <row r="368" spans="1:20" x14ac:dyDescent="0.2">
      <c r="A368" s="40" t="s">
        <v>576</v>
      </c>
      <c r="B368" s="168">
        <f t="shared" ref="B368:Q368" si="263">B215*INDEX($B$222:$B$238,MATCH($A368,$A$222:$A$238,0),1)</f>
        <v>0</v>
      </c>
      <c r="C368" s="168">
        <f t="shared" si="263"/>
        <v>0</v>
      </c>
      <c r="D368" s="168">
        <f t="shared" si="263"/>
        <v>0</v>
      </c>
      <c r="E368" s="168">
        <f t="shared" si="263"/>
        <v>1.5174409250808676</v>
      </c>
      <c r="F368" s="168">
        <f t="shared" si="263"/>
        <v>0</v>
      </c>
      <c r="G368" s="168">
        <f t="shared" si="263"/>
        <v>0.18968011563510845</v>
      </c>
      <c r="H368" s="168">
        <f t="shared" si="263"/>
        <v>0</v>
      </c>
      <c r="I368" s="168">
        <f t="shared" si="263"/>
        <v>0</v>
      </c>
      <c r="J368" s="168">
        <f t="shared" si="263"/>
        <v>0</v>
      </c>
      <c r="K368" s="168">
        <f t="shared" si="263"/>
        <v>0</v>
      </c>
      <c r="L368" s="168">
        <f t="shared" si="263"/>
        <v>0.18968011563510845</v>
      </c>
      <c r="M368" s="168">
        <f t="shared" si="263"/>
        <v>0</v>
      </c>
      <c r="N368" s="168">
        <f t="shared" si="263"/>
        <v>0</v>
      </c>
      <c r="O368" s="168">
        <f t="shared" si="263"/>
        <v>0</v>
      </c>
      <c r="P368" s="168">
        <f t="shared" si="263"/>
        <v>0</v>
      </c>
      <c r="Q368" s="168">
        <f t="shared" si="263"/>
        <v>0</v>
      </c>
      <c r="R368" s="168">
        <f t="shared" ref="R368:R369" si="264">SUM(C368:J368,L368:P368)</f>
        <v>1.8968011563510845</v>
      </c>
      <c r="S368" s="41">
        <f t="shared" si="247"/>
        <v>0</v>
      </c>
      <c r="T368" s="41">
        <f t="shared" si="248"/>
        <v>1.8968011563510845</v>
      </c>
    </row>
    <row r="369" spans="1:20" x14ac:dyDescent="0.2">
      <c r="A369" s="40" t="s">
        <v>575</v>
      </c>
      <c r="B369" s="168">
        <f t="shared" ref="B369:Q369" si="265">B216*INDEX($B$222:$B$238,MATCH($A369,$A$222:$A$238,0),1)</f>
        <v>0</v>
      </c>
      <c r="C369" s="168">
        <f t="shared" si="265"/>
        <v>0</v>
      </c>
      <c r="D369" s="168">
        <f t="shared" si="265"/>
        <v>0</v>
      </c>
      <c r="E369" s="168">
        <f t="shared" si="265"/>
        <v>0.66091188976040527</v>
      </c>
      <c r="F369" s="168">
        <f t="shared" si="265"/>
        <v>0</v>
      </c>
      <c r="G369" s="168">
        <f t="shared" si="265"/>
        <v>8.2613986220050659E-2</v>
      </c>
      <c r="H369" s="168">
        <f t="shared" si="265"/>
        <v>0</v>
      </c>
      <c r="I369" s="168">
        <f t="shared" si="265"/>
        <v>0</v>
      </c>
      <c r="J369" s="168">
        <f t="shared" si="265"/>
        <v>0</v>
      </c>
      <c r="K369" s="168">
        <f t="shared" si="265"/>
        <v>0</v>
      </c>
      <c r="L369" s="168">
        <f t="shared" si="265"/>
        <v>8.2613986220050659E-2</v>
      </c>
      <c r="M369" s="168">
        <f t="shared" si="265"/>
        <v>0</v>
      </c>
      <c r="N369" s="168">
        <f t="shared" si="265"/>
        <v>0</v>
      </c>
      <c r="O369" s="168">
        <f t="shared" si="265"/>
        <v>0</v>
      </c>
      <c r="P369" s="168">
        <f t="shared" si="265"/>
        <v>0</v>
      </c>
      <c r="Q369" s="168">
        <f t="shared" si="265"/>
        <v>0</v>
      </c>
      <c r="R369" s="168">
        <f t="shared" si="264"/>
        <v>0.82613986220050661</v>
      </c>
      <c r="S369" s="41">
        <f t="shared" si="247"/>
        <v>0</v>
      </c>
      <c r="T369" s="41">
        <f t="shared" si="248"/>
        <v>0.82613986220050661</v>
      </c>
    </row>
  </sheetData>
  <mergeCells count="14">
    <mergeCell ref="T178:V178"/>
    <mergeCell ref="T198:V198"/>
    <mergeCell ref="T157:V157"/>
    <mergeCell ref="B7:D7"/>
    <mergeCell ref="F31:H31"/>
    <mergeCell ref="C31:E31"/>
    <mergeCell ref="C55:E55"/>
    <mergeCell ref="F55:H55"/>
    <mergeCell ref="B10:D10"/>
    <mergeCell ref="C76:E76"/>
    <mergeCell ref="F76:H76"/>
    <mergeCell ref="T92:V92"/>
    <mergeCell ref="T114:V114"/>
    <mergeCell ref="T135:V135"/>
  </mergeCells>
  <conditionalFormatting sqref="B9:D9 B10 C11:D25">
    <cfRule type="cellIs" dxfId="56" priority="205" operator="greaterThan">
      <formula>1</formula>
    </cfRule>
  </conditionalFormatting>
  <conditionalFormatting sqref="B94:P110 B116:P132 B137:P153 C195:P196">
    <cfRule type="cellIs" dxfId="55" priority="219" operator="notEqual">
      <formula>0</formula>
    </cfRule>
  </conditionalFormatting>
  <conditionalFormatting sqref="B94:P110 B116:P132 B137:P153">
    <cfRule type="cellIs" dxfId="54" priority="220" operator="equal">
      <formula>0</formula>
    </cfRule>
  </conditionalFormatting>
  <conditionalFormatting sqref="B159:P175">
    <cfRule type="cellIs" dxfId="53" priority="103" operator="notEqual">
      <formula>0</formula>
    </cfRule>
    <cfRule type="cellIs" dxfId="52" priority="104" operator="equal">
      <formula>0</formula>
    </cfRule>
  </conditionalFormatting>
  <conditionalFormatting sqref="B180:P196">
    <cfRule type="cellIs" dxfId="51" priority="101" operator="notEqual">
      <formula>0</formula>
    </cfRule>
    <cfRule type="cellIs" dxfId="50" priority="102" operator="equal">
      <formula>0</formula>
    </cfRule>
  </conditionalFormatting>
  <conditionalFormatting sqref="B200:P216">
    <cfRule type="cellIs" dxfId="49" priority="112" operator="equal">
      <formula>0</formula>
    </cfRule>
    <cfRule type="cellIs" dxfId="48" priority="111" operator="notEqual">
      <formula>0</formula>
    </cfRule>
  </conditionalFormatting>
  <conditionalFormatting sqref="B247:R263">
    <cfRule type="cellIs" dxfId="47" priority="86" operator="equal">
      <formula>0</formula>
    </cfRule>
    <cfRule type="cellIs" dxfId="46" priority="85" operator="notEqual">
      <formula>0</formula>
    </cfRule>
  </conditionalFormatting>
  <conditionalFormatting sqref="B269:R285">
    <cfRule type="cellIs" dxfId="45" priority="58" operator="equal">
      <formula>0</formula>
    </cfRule>
    <cfRule type="cellIs" dxfId="44" priority="57" operator="notEqual">
      <formula>0</formula>
    </cfRule>
  </conditionalFormatting>
  <conditionalFormatting sqref="B290:R306">
    <cfRule type="cellIs" dxfId="43" priority="56" operator="equal">
      <formula>0</formula>
    </cfRule>
    <cfRule type="cellIs" dxfId="42" priority="55" operator="notEqual">
      <formula>0</formula>
    </cfRule>
  </conditionalFormatting>
  <conditionalFormatting sqref="B312:R328">
    <cfRule type="cellIs" dxfId="41" priority="48" operator="equal">
      <formula>0</formula>
    </cfRule>
    <cfRule type="cellIs" dxfId="40" priority="47" operator="notEqual">
      <formula>0</formula>
    </cfRule>
  </conditionalFormatting>
  <conditionalFormatting sqref="B333:R349">
    <cfRule type="cellIs" dxfId="39" priority="42" operator="equal">
      <formula>0</formula>
    </cfRule>
    <cfRule type="cellIs" dxfId="38" priority="41" operator="notEqual">
      <formula>0</formula>
    </cfRule>
  </conditionalFormatting>
  <conditionalFormatting sqref="B353:R369">
    <cfRule type="cellIs" dxfId="37" priority="35" operator="notEqual">
      <formula>0</formula>
    </cfRule>
    <cfRule type="cellIs" dxfId="36" priority="36" operator="equal">
      <formula>0</formula>
    </cfRule>
  </conditionalFormatting>
  <conditionalFormatting sqref="R94:R110">
    <cfRule type="cellIs" dxfId="35" priority="196" operator="equal">
      <formula>0</formula>
    </cfRule>
    <cfRule type="cellIs" dxfId="34" priority="195" operator="notEqual">
      <formula>0</formula>
    </cfRule>
  </conditionalFormatting>
  <conditionalFormatting sqref="R116:R132">
    <cfRule type="cellIs" dxfId="33" priority="105" operator="notEqual">
      <formula>0</formula>
    </cfRule>
    <cfRule type="cellIs" dxfId="32" priority="106" operator="equal">
      <formula>0</formula>
    </cfRule>
  </conditionalFormatting>
  <conditionalFormatting sqref="R137:R153">
    <cfRule type="cellIs" dxfId="31" priority="192" operator="equal">
      <formula>0</formula>
    </cfRule>
    <cfRule type="cellIs" dxfId="30" priority="191" operator="notEqual">
      <formula>0</formula>
    </cfRule>
  </conditionalFormatting>
  <conditionalFormatting sqref="R159:R175">
    <cfRule type="cellIs" dxfId="29" priority="153" operator="notEqual">
      <formula>0</formula>
    </cfRule>
    <cfRule type="cellIs" dxfId="28" priority="154" operator="equal">
      <formula>0</formula>
    </cfRule>
  </conditionalFormatting>
  <conditionalFormatting sqref="R180:R196">
    <cfRule type="cellIs" dxfId="27" priority="151" operator="notEqual">
      <formula>0</formula>
    </cfRule>
    <cfRule type="cellIs" dxfId="26" priority="152" operator="equal">
      <formula>0</formula>
    </cfRule>
  </conditionalFormatting>
  <conditionalFormatting sqref="R200:R216">
    <cfRule type="cellIs" dxfId="25" priority="175" operator="notEqual">
      <formula>0</formula>
    </cfRule>
    <cfRule type="cellIs" dxfId="24" priority="176" operator="equal">
      <formula>0</formula>
    </cfRule>
  </conditionalFormatting>
  <conditionalFormatting sqref="S94:S110">
    <cfRule type="cellIs" dxfId="23" priority="202" operator="equal">
      <formula>"OK"</formula>
    </cfRule>
    <cfRule type="cellIs" dxfId="22" priority="201" operator="equal">
      <formula>"EXCEEDS MAX"</formula>
    </cfRule>
  </conditionalFormatting>
  <conditionalFormatting sqref="S116:S132">
    <cfRule type="cellIs" dxfId="21" priority="100" operator="equal">
      <formula>"OK"</formula>
    </cfRule>
    <cfRule type="cellIs" dxfId="20" priority="99" operator="equal">
      <formula>"EXCEEDS MAX"</formula>
    </cfRule>
  </conditionalFormatting>
  <conditionalFormatting sqref="S137:S153">
    <cfRule type="cellIs" dxfId="19" priority="98" operator="equal">
      <formula>"OK"</formula>
    </cfRule>
    <cfRule type="cellIs" dxfId="18" priority="97" operator="equal">
      <formula>"EXCEEDS MAX"</formula>
    </cfRule>
  </conditionalFormatting>
  <conditionalFormatting sqref="S159:S175">
    <cfRule type="cellIs" dxfId="17" priority="96" operator="equal">
      <formula>"OK"</formula>
    </cfRule>
    <cfRule type="cellIs" dxfId="16" priority="95" operator="equal">
      <formula>"EXCEEDS MAX"</formula>
    </cfRule>
  </conditionalFormatting>
  <conditionalFormatting sqref="S180:S196">
    <cfRule type="cellIs" dxfId="15" priority="94" operator="equal">
      <formula>"OK"</formula>
    </cfRule>
    <cfRule type="cellIs" dxfId="14" priority="93" operator="equal">
      <formula>"EXCEEDS MAX"</formula>
    </cfRule>
  </conditionalFormatting>
  <conditionalFormatting sqref="S200:S216">
    <cfRule type="cellIs" dxfId="13" priority="92" operator="equal">
      <formula>"OK"</formula>
    </cfRule>
    <cfRule type="cellIs" dxfId="12" priority="91" operator="equal">
      <formula>"EXCEEDS MAX"</formula>
    </cfRule>
  </conditionalFormatting>
  <conditionalFormatting sqref="S247:T263">
    <cfRule type="cellIs" dxfId="11" priority="11" operator="equal">
      <formula>"EXCEEDS MAX"</formula>
    </cfRule>
    <cfRule type="cellIs" dxfId="10" priority="12" operator="equal">
      <formula>"OK"</formula>
    </cfRule>
  </conditionalFormatting>
  <conditionalFormatting sqref="S269:T285">
    <cfRule type="cellIs" dxfId="9" priority="10" operator="equal">
      <formula>"OK"</formula>
    </cfRule>
    <cfRule type="cellIs" dxfId="8" priority="9" operator="equal">
      <formula>"EXCEEDS MAX"</formula>
    </cfRule>
  </conditionalFormatting>
  <conditionalFormatting sqref="S290:T306">
    <cfRule type="cellIs" dxfId="7" priority="8" operator="equal">
      <formula>"OK"</formula>
    </cfRule>
    <cfRule type="cellIs" dxfId="6" priority="7" operator="equal">
      <formula>"EXCEEDS MAX"</formula>
    </cfRule>
  </conditionalFormatting>
  <conditionalFormatting sqref="S312:T328">
    <cfRule type="cellIs" dxfId="5" priority="6" operator="equal">
      <formula>"OK"</formula>
    </cfRule>
    <cfRule type="cellIs" dxfId="4" priority="5" operator="equal">
      <formula>"EXCEEDS MAX"</formula>
    </cfRule>
  </conditionalFormatting>
  <conditionalFormatting sqref="S333:T349">
    <cfRule type="cellIs" dxfId="3" priority="4" operator="equal">
      <formula>"OK"</formula>
    </cfRule>
    <cfRule type="cellIs" dxfId="2" priority="3" operator="equal">
      <formula>"EXCEEDS MAX"</formula>
    </cfRule>
  </conditionalFormatting>
  <conditionalFormatting sqref="S353:T369">
    <cfRule type="cellIs" dxfId="1" priority="1" operator="equal">
      <formula>"EXCEEDS MAX"</formula>
    </cfRule>
    <cfRule type="cellIs" dxfId="0" priority="2" operator="equal">
      <formula>"OK"</formula>
    </cfRule>
  </conditionalFormatting>
  <dataValidations disablePrompts="1" count="1">
    <dataValidation type="decimal" errorStyle="warning" allowBlank="1" showErrorMessage="1" errorTitle="Above 100" error="Cannot have a value over 100%" sqref="B9:B10 C9:D9 C11:D25" xr:uid="{E45D6E10-03CB-AE4C-8E3A-47A64ACA6924}">
      <formula1>0</formula1>
      <formula2>1</formula2>
    </dataValidation>
  </dataValidations>
  <pageMargins left="0.7" right="0.7" top="0.75" bottom="0.75" header="0.3" footer="0.3"/>
  <pageSetup orientation="portrait" horizontalDpi="0" verticalDpi="0"/>
  <drawing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FAFF53-A31F-4240-A228-A990C0CDBA8F}">
  <dimension ref="A1:K544"/>
  <sheetViews>
    <sheetView topLeftCell="A111" zoomScale="120" zoomScaleNormal="120" workbookViewId="0">
      <selection activeCell="F126" sqref="F126"/>
    </sheetView>
  </sheetViews>
  <sheetFormatPr baseColWidth="10" defaultRowHeight="16" x14ac:dyDescent="0.2"/>
  <cols>
    <col min="1" max="1" width="27.6640625" customWidth="1"/>
    <col min="2" max="2" width="15" customWidth="1"/>
    <col min="3" max="3" width="28.1640625" customWidth="1"/>
    <col min="4" max="4" width="22" customWidth="1"/>
    <col min="5" max="5" width="14" customWidth="1"/>
    <col min="6" max="6" width="17.6640625" customWidth="1"/>
    <col min="7" max="7" width="28.5" customWidth="1"/>
  </cols>
  <sheetData>
    <row r="1" spans="1:8" ht="21" x14ac:dyDescent="0.25">
      <c r="A1" s="19" t="s">
        <v>337</v>
      </c>
      <c r="B1" s="19"/>
    </row>
    <row r="2" spans="1:8" x14ac:dyDescent="0.2">
      <c r="H2" s="20" t="s">
        <v>204</v>
      </c>
    </row>
    <row r="3" spans="1:8" x14ac:dyDescent="0.2">
      <c r="A3" s="2" t="s">
        <v>76</v>
      </c>
      <c r="B3" s="2" t="s">
        <v>208</v>
      </c>
      <c r="C3" s="2" t="s">
        <v>83</v>
      </c>
      <c r="D3" s="2" t="s">
        <v>118</v>
      </c>
      <c r="E3" s="2" t="s">
        <v>329</v>
      </c>
      <c r="F3" s="2" t="s">
        <v>328</v>
      </c>
      <c r="G3" s="2" t="s">
        <v>116</v>
      </c>
      <c r="H3" s="2" t="s">
        <v>120</v>
      </c>
    </row>
    <row r="4" spans="1:8" x14ac:dyDescent="0.2">
      <c r="A4" t="s">
        <v>82</v>
      </c>
      <c r="B4" t="s">
        <v>206</v>
      </c>
      <c r="C4" t="s">
        <v>38</v>
      </c>
      <c r="D4" s="11">
        <f>INDEX(PlasticsUse!$B$48:$L$64,MATCH('CompilationCalcs - Di et al.EOL'!$A4,PlasticsUse!$A$48:$A$64,0),MATCH('CompilationCalcs - Di et al.EOL'!$C4,PlasticsUse!$B$47:$L$47,0))</f>
        <v>2.26796</v>
      </c>
      <c r="E4" s="11" t="str">
        <f>IF('CompilationCalcs - Di et al.EOL'!C4=PlasticsUse!$D$93,Conversions!$A$17,IF('CompilationCalcs - Di et al.EOL'!C4=PlasticsUse!$L$93,Conversions!$A$18,Conversions!$A$16))</f>
        <v>Transfer Station</v>
      </c>
      <c r="F4" s="11">
        <f>INDEX('In-Use Stocks'!$M$81:$V$97,MATCH('CompilationCalcs - Di et al.EOL'!$A4,'In-Use Stocks'!$L$81:$L$97,0),MATCH('CompilationCalcs - Di et al.EOL'!$C4,'In-Use Stocks'!$M$80:$V$80,0))</f>
        <v>0.87609700427647264</v>
      </c>
      <c r="G4" t="s">
        <v>191</v>
      </c>
      <c r="H4" s="11">
        <f>IFERROR(INDEX(EndOfLife!$L$64:$P$78,MATCH($A4,EndOfLife!$A$64:$A$78,0),MATCH($G4,EndOfLife!$L$63:$P$63,0))*INDEX(PlasticsUse!$B$27:$L$41,MATCH('CompilationCalcs - Di et al.EOL'!$A4,PlasticsUse!$A$27:$A$41,0),MATCH('CompilationCalcs - Di et al.EOL'!$C4,PlasticsUse!$B$26:$L$26,0)),0)</f>
        <v>0.30693190889208982</v>
      </c>
    </row>
    <row r="5" spans="1:8" x14ac:dyDescent="0.2">
      <c r="A5" t="s">
        <v>82</v>
      </c>
      <c r="B5" t="s">
        <v>206</v>
      </c>
      <c r="C5" t="s">
        <v>99</v>
      </c>
      <c r="D5" s="11">
        <f>INDEX(PlasticsUse!$B$48:$L$64,MATCH('CompilationCalcs - Di et al.EOL'!$A5,PlasticsUse!$A$48:$A$64,0),MATCH('CompilationCalcs - Di et al.EOL'!$C5,PlasticsUse!$B$47:$L$47,0))</f>
        <v>2.26796</v>
      </c>
      <c r="E5" s="11" t="str">
        <f>IF('CompilationCalcs - Di et al.EOL'!C5=PlasticsUse!$D$93,Conversions!$A$17,IF('CompilationCalcs - Di et al.EOL'!C5=PlasticsUse!$L$93,Conversions!$A$18,Conversions!$A$16))</f>
        <v>Transfer Station</v>
      </c>
      <c r="F5" s="11">
        <f>INDEX('In-Use Stocks'!$M$81:$V$97,MATCH('CompilationCalcs - Di et al.EOL'!$A5,'In-Use Stocks'!$L$81:$L$97,0),MATCH('CompilationCalcs - Di et al.EOL'!$C5,'In-Use Stocks'!$M$80:$V$80,0))</f>
        <v>2.1316939249435332</v>
      </c>
      <c r="G5" t="s">
        <v>191</v>
      </c>
      <c r="H5" s="11">
        <f>IFERROR(INDEX(EndOfLife!$L$64:$P$78,MATCH($A5,EndOfLife!$A$64:$A$78,0),MATCH($G5,EndOfLife!$L$63:$P$63,0))*INDEX(PlasticsUse!$B$27:$L$41,MATCH('CompilationCalcs - Di et al.EOL'!$A5,PlasticsUse!$A$27:$A$41,0),MATCH('CompilationCalcs - Di et al.EOL'!$C5,PlasticsUse!$B$26:$L$26,0)),0)</f>
        <v>0.30693190889208982</v>
      </c>
    </row>
    <row r="6" spans="1:8" x14ac:dyDescent="0.2">
      <c r="A6" t="s">
        <v>82</v>
      </c>
      <c r="B6" t="s">
        <v>206</v>
      </c>
      <c r="C6" t="s">
        <v>69</v>
      </c>
      <c r="D6" s="11">
        <f>INDEX(PlasticsUse!$B$48:$L$64,MATCH('CompilationCalcs - Di et al.EOL'!$A6,PlasticsUse!$A$48:$A$64,0),MATCH('CompilationCalcs - Di et al.EOL'!$C6,PlasticsUse!$B$47:$L$47,0))</f>
        <v>2.26796</v>
      </c>
      <c r="E6" s="11" t="str">
        <f>IF('CompilationCalcs - Di et al.EOL'!C6=PlasticsUse!$D$93,Conversions!$A$17,IF('CompilationCalcs - Di et al.EOL'!C6=PlasticsUse!$L$93,Conversions!$A$18,Conversions!$A$16))</f>
        <v>Automotive Shredding Facility</v>
      </c>
      <c r="F6" s="11">
        <f>INDEX('In-Use Stocks'!$M$81:$V$97,MATCH('CompilationCalcs - Di et al.EOL'!$A6,'In-Use Stocks'!$L$81:$L$97,0),MATCH('CompilationCalcs - Di et al.EOL'!$C6,'In-Use Stocks'!$M$80:$V$80,0))</f>
        <v>2.3115025971221326</v>
      </c>
      <c r="G6" t="s">
        <v>191</v>
      </c>
      <c r="H6" s="11">
        <f>IFERROR(INDEX(EndOfLife!$L$64:$P$78,MATCH($A6,EndOfLife!$A$64:$A$78,0),MATCH($G6,EndOfLife!$L$63:$P$63,0))*INDEX(PlasticsUse!$B$27:$L$41,MATCH('CompilationCalcs - Di et al.EOL'!$A6,PlasticsUse!$A$27:$A$41,0),MATCH('CompilationCalcs - Di et al.EOL'!$C6,PlasticsUse!$B$26:$L$26,0)),0)</f>
        <v>0.30693190889208982</v>
      </c>
    </row>
    <row r="7" spans="1:8" x14ac:dyDescent="0.2">
      <c r="A7" t="s">
        <v>82</v>
      </c>
      <c r="B7" t="s">
        <v>206</v>
      </c>
      <c r="C7" t="s">
        <v>100</v>
      </c>
      <c r="D7" s="11">
        <f>INDEX(PlasticsUse!$B$48:$L$64,MATCH('CompilationCalcs - Di et al.EOL'!$A7,PlasticsUse!$A$48:$A$64,0),MATCH('CompilationCalcs - Di et al.EOL'!$C7,PlasticsUse!$B$47:$L$47,0))</f>
        <v>2.26796</v>
      </c>
      <c r="E7" s="11" t="str">
        <f>IF('CompilationCalcs - Di et al.EOL'!C7=PlasticsUse!$D$93,Conversions!$A$17,IF('CompilationCalcs - Di et al.EOL'!C7=PlasticsUse!$L$93,Conversions!$A$18,Conversions!$A$16))</f>
        <v>Transfer Station</v>
      </c>
      <c r="F7" s="11">
        <f>INDEX('In-Use Stocks'!$M$81:$V$97,MATCH('CompilationCalcs - Di et al.EOL'!$A7,'In-Use Stocks'!$L$81:$L$97,0),MATCH('CompilationCalcs - Di et al.EOL'!$C7,'In-Use Stocks'!$M$80:$V$80,0))</f>
        <v>1.6969599654687759</v>
      </c>
      <c r="G7" t="s">
        <v>191</v>
      </c>
      <c r="H7" s="11">
        <f>IFERROR(INDEX(EndOfLife!$L$64:$P$78,MATCH($A7,EndOfLife!$A$64:$A$78,0),MATCH($G7,EndOfLife!$L$63:$P$63,0))*INDEX(PlasticsUse!$B$27:$L$41,MATCH('CompilationCalcs - Di et al.EOL'!$A7,PlasticsUse!$A$27:$A$41,0),MATCH('CompilationCalcs - Di et al.EOL'!$C7,PlasticsUse!$B$26:$L$26,0)),0)</f>
        <v>0.30693190889208982</v>
      </c>
    </row>
    <row r="8" spans="1:8" x14ac:dyDescent="0.2">
      <c r="A8" t="s">
        <v>82</v>
      </c>
      <c r="B8" t="s">
        <v>206</v>
      </c>
      <c r="C8" t="s">
        <v>39</v>
      </c>
      <c r="D8" s="11">
        <f>INDEX(PlasticsUse!$B$48:$L$64,MATCH('CompilationCalcs - Di et al.EOL'!$A8,PlasticsUse!$A$48:$A$64,0),MATCH('CompilationCalcs - Di et al.EOL'!$C8,PlasticsUse!$B$47:$L$47,0))</f>
        <v>2.26796</v>
      </c>
      <c r="E8" s="11" t="str">
        <f>IF('CompilationCalcs - Di et al.EOL'!C8=PlasticsUse!$D$93,Conversions!$A$17,IF('CompilationCalcs - Di et al.EOL'!C8=PlasticsUse!$L$93,Conversions!$A$18,Conversions!$A$16))</f>
        <v>Transfer Station</v>
      </c>
      <c r="F8" s="11">
        <f>INDEX('In-Use Stocks'!$M$81:$V$97,MATCH('CompilationCalcs - Di et al.EOL'!$A8,'In-Use Stocks'!$L$81:$L$97,0),MATCH('CompilationCalcs - Di et al.EOL'!$C8,'In-Use Stocks'!$M$80:$V$80,0))</f>
        <v>2.7110069701520736</v>
      </c>
      <c r="G8" t="s">
        <v>191</v>
      </c>
      <c r="H8" s="11">
        <f>IFERROR(INDEX(EndOfLife!$L$64:$P$78,MATCH($A8,EndOfLife!$A$64:$A$78,0),MATCH($G8,EndOfLife!$L$63:$P$63,0))*INDEX(PlasticsUse!$B$27:$L$41,MATCH('CompilationCalcs - Di et al.EOL'!$A8,PlasticsUse!$A$27:$A$41,0),MATCH('CompilationCalcs - Di et al.EOL'!$C8,PlasticsUse!$B$26:$L$26,0)),0)</f>
        <v>0.30693190889208982</v>
      </c>
    </row>
    <row r="9" spans="1:8" x14ac:dyDescent="0.2">
      <c r="A9" t="s">
        <v>82</v>
      </c>
      <c r="B9" t="s">
        <v>206</v>
      </c>
      <c r="C9" t="s">
        <v>68</v>
      </c>
      <c r="D9" s="11">
        <f>INDEX(PlasticsUse!$B$48:$L$64,MATCH('CompilationCalcs - Di et al.EOL'!$A9,PlasticsUse!$A$48:$A$64,0),MATCH('CompilationCalcs - Di et al.EOL'!$C9,PlasticsUse!$B$47:$L$47,0))</f>
        <v>2.26796</v>
      </c>
      <c r="E9" s="11" t="str">
        <f>IF('CompilationCalcs - Di et al.EOL'!C9=PlasticsUse!$D$93,Conversions!$A$17,IF('CompilationCalcs - Di et al.EOL'!C9=PlasticsUse!$L$93,Conversions!$A$18,Conversions!$A$16))</f>
        <v>Transfer Station</v>
      </c>
      <c r="F9" s="11">
        <f>INDEX('In-Use Stocks'!$M$81:$V$97,MATCH('CompilationCalcs - Di et al.EOL'!$A9,'In-Use Stocks'!$L$81:$L$97,0),MATCH('CompilationCalcs - Di et al.EOL'!$C9,'In-Use Stocks'!$M$80:$V$80,0))</f>
        <v>2.4086138424269157</v>
      </c>
      <c r="G9" t="s">
        <v>333</v>
      </c>
      <c r="H9" s="92">
        <f>IFERROR(INDEX(EndOfLife!$L$64:$P$78,MATCH($A9,EndOfLife!$A$64:$A$78,0),MATCH($G9,EndOfLife!$L$63:$P$63,0))*INDEX(PlasticsUse!$B$27:$L$41,MATCH('CompilationCalcs - Di et al.EOL'!$A9,PlasticsUse!$A$27:$A$41,0),MATCH('CompilationCalcs - Di et al.EOL'!$C9,PlasticsUse!$B$26:$L$26,0)),0)</f>
        <v>6.480144458300327E-2</v>
      </c>
    </row>
    <row r="10" spans="1:8" x14ac:dyDescent="0.2">
      <c r="A10" t="s">
        <v>82</v>
      </c>
      <c r="B10" t="s">
        <v>206</v>
      </c>
      <c r="C10" t="s">
        <v>63</v>
      </c>
      <c r="D10" s="11">
        <f>INDEX(PlasticsUse!$B$48:$L$64,MATCH('CompilationCalcs - Di et al.EOL'!$A10,PlasticsUse!$A$48:$A$64,0),MATCH('CompilationCalcs - Di et al.EOL'!$C10,PlasticsUse!$B$47:$L$47,0))</f>
        <v>2.26796</v>
      </c>
      <c r="E10" s="11" t="str">
        <f>IF('CompilationCalcs - Di et al.EOL'!C10=PlasticsUse!$D$93,Conversions!$A$17,IF('CompilationCalcs - Di et al.EOL'!C10=PlasticsUse!$L$93,Conversions!$A$18,Conversions!$A$16))</f>
        <v>Transfer Station</v>
      </c>
      <c r="F10" s="11">
        <f>INDEX('In-Use Stocks'!$M$81:$V$97,MATCH('CompilationCalcs - Di et al.EOL'!$A10,'In-Use Stocks'!$L$81:$L$97,0),MATCH('CompilationCalcs - Di et al.EOL'!$C10,'In-Use Stocks'!$M$80:$V$80,0))</f>
        <v>2.2040823313200337</v>
      </c>
      <c r="G10" t="s">
        <v>191</v>
      </c>
      <c r="H10" s="11">
        <f>IFERROR(INDEX(EndOfLife!$L$64:$P$78,MATCH($A10,EndOfLife!$A$64:$A$78,0),MATCH($G10,EndOfLife!$L$63:$P$63,0))*INDEX(PlasticsUse!$B$27:$L$41,MATCH('CompilationCalcs - Di et al.EOL'!$A10,PlasticsUse!$A$27:$A$41,0),MATCH('CompilationCalcs - Di et al.EOL'!$C10,PlasticsUse!$B$26:$L$26,0)),0)</f>
        <v>0.30693190889208982</v>
      </c>
    </row>
    <row r="11" spans="1:8" x14ac:dyDescent="0.2">
      <c r="A11" t="s">
        <v>82</v>
      </c>
      <c r="B11" t="s">
        <v>206</v>
      </c>
      <c r="C11" t="s">
        <v>92</v>
      </c>
      <c r="D11" s="11">
        <f>INDEX(PlasticsUse!$B$48:$L$64,MATCH('CompilationCalcs - Di et al.EOL'!$A11,PlasticsUse!$A$48:$A$64,0),MATCH('CompilationCalcs - Di et al.EOL'!$C11,PlasticsUse!$B$47:$L$47,0))</f>
        <v>2.26796</v>
      </c>
      <c r="E11" s="11" t="str">
        <f>IF('CompilationCalcs - Di et al.EOL'!C11=PlasticsUse!$D$93,Conversions!$A$17,IF('CompilationCalcs - Di et al.EOL'!C11=PlasticsUse!$L$93,Conversions!$A$18,Conversions!$A$16))</f>
        <v>Transfer Station</v>
      </c>
      <c r="F11" s="11">
        <f>INDEX('In-Use Stocks'!$M$81:$V$97,MATCH('CompilationCalcs - Di et al.EOL'!$A11,'In-Use Stocks'!$L$81:$L$97,0),MATCH('CompilationCalcs - Di et al.EOL'!$C11,'In-Use Stocks'!$M$80:$V$80,0))</f>
        <v>1.9069718782156957</v>
      </c>
      <c r="G11" t="s">
        <v>191</v>
      </c>
      <c r="H11" s="11">
        <f>IFERROR(INDEX(EndOfLife!$L$64:$P$78,MATCH($A11,EndOfLife!$A$64:$A$78,0),MATCH($G11,EndOfLife!$L$63:$P$63,0))*INDEX(PlasticsUse!$B$27:$L$41,MATCH('CompilationCalcs - Di et al.EOL'!$A11,PlasticsUse!$A$27:$A$41,0),MATCH('CompilationCalcs - Di et al.EOL'!$C11,PlasticsUse!$B$26:$L$26,0)),0)</f>
        <v>0.30693190889208982</v>
      </c>
    </row>
    <row r="12" spans="1:8" x14ac:dyDescent="0.2">
      <c r="A12" t="s">
        <v>82</v>
      </c>
      <c r="B12" t="s">
        <v>206</v>
      </c>
      <c r="C12" t="s">
        <v>103</v>
      </c>
      <c r="D12" s="11">
        <f>INDEX(PlasticsUse!$B$48:$L$64,MATCH('CompilationCalcs - Di et al.EOL'!$A12,PlasticsUse!$A$48:$A$64,0),MATCH('CompilationCalcs - Di et al.EOL'!$C12,PlasticsUse!$B$47:$L$47,0))</f>
        <v>2.26796</v>
      </c>
      <c r="E12" s="11" t="str">
        <f>IF('CompilationCalcs - Di et al.EOL'!C12=PlasticsUse!$D$93,Conversions!$A$17,IF('CompilationCalcs - Di et al.EOL'!C12=PlasticsUse!$L$93,Conversions!$A$18,Conversions!$A$16))</f>
        <v>Transfer Station</v>
      </c>
      <c r="F12" s="11">
        <f>INDEX('In-Use Stocks'!$M$81:$V$97,MATCH('CompilationCalcs - Di et al.EOL'!$A12,'In-Use Stocks'!$L$81:$L$97,0),MATCH('CompilationCalcs - Di et al.EOL'!$C12,'In-Use Stocks'!$M$80:$V$80,0))</f>
        <v>2.2130085000446935</v>
      </c>
      <c r="G12" t="s">
        <v>191</v>
      </c>
      <c r="H12" s="11">
        <f>IFERROR(INDEX(EndOfLife!$L$64:$P$78,MATCH($A12,EndOfLife!$A$64:$A$78,0),MATCH($G12,EndOfLife!$L$63:$P$63,0))*INDEX(PlasticsUse!$B$27:$L$41,MATCH('CompilationCalcs - Di et al.EOL'!$A12,PlasticsUse!$A$27:$A$41,0),MATCH('CompilationCalcs - Di et al.EOL'!$C12,PlasticsUse!$B$26:$L$26,0)),0)</f>
        <v>0.30693190889208982</v>
      </c>
    </row>
    <row r="13" spans="1:8" x14ac:dyDescent="0.2">
      <c r="A13" t="s">
        <v>82</v>
      </c>
      <c r="B13" t="s">
        <v>206</v>
      </c>
      <c r="C13" t="s">
        <v>86</v>
      </c>
      <c r="D13" s="11">
        <f>INDEX(PlasticsUse!$B$48:$L$64,MATCH('CompilationCalcs - Di et al.EOL'!$A13,PlasticsUse!$A$48:$A$64,0),MATCH('CompilationCalcs - Di et al.EOL'!$C13,PlasticsUse!$B$47:$L$47,0))</f>
        <v>2.26796</v>
      </c>
      <c r="E13" s="11" t="str">
        <f>IF('CompilationCalcs - Di et al.EOL'!C13=PlasticsUse!$D$93,Conversions!$A$17,IF('CompilationCalcs - Di et al.EOL'!C13=PlasticsUse!$L$93,Conversions!$A$18,Conversions!$A$16))</f>
        <v>Transfer Station</v>
      </c>
      <c r="F13" s="11">
        <f>INDEX('In-Use Stocks'!$M$81:$V$97,MATCH('CompilationCalcs - Di et al.EOL'!$A13,'In-Use Stocks'!$L$81:$L$97,0),MATCH('CompilationCalcs - Di et al.EOL'!$C13,'In-Use Stocks'!$M$80:$V$80,0))</f>
        <v>1.9069718782156957</v>
      </c>
      <c r="G13" t="s">
        <v>191</v>
      </c>
      <c r="H13" s="11">
        <f>IFERROR(INDEX(EndOfLife!$L$64:$P$78,MATCH($A13,EndOfLife!$A$64:$A$78,0),MATCH($G13,EndOfLife!$L$63:$P$63,0))*INDEX(PlasticsUse!$B$27:$L$41,MATCH('CompilationCalcs - Di et al.EOL'!$A13,PlasticsUse!$A$27:$A$41,0),MATCH('CompilationCalcs - Di et al.EOL'!$C13,PlasticsUse!$B$26:$L$26,0)),0)</f>
        <v>0.30693190889208982</v>
      </c>
    </row>
    <row r="14" spans="1:8" x14ac:dyDescent="0.2">
      <c r="A14" t="s">
        <v>82</v>
      </c>
      <c r="B14" t="s">
        <v>206</v>
      </c>
      <c r="C14" t="s">
        <v>18</v>
      </c>
      <c r="D14" s="11">
        <f>INDEX(PlasticsUse!$B$48:$L$64,MATCH('CompilationCalcs - Di et al.EOL'!$A14,PlasticsUse!$A$48:$A$64,0),MATCH('CompilationCalcs - Di et al.EOL'!$C14,PlasticsUse!$B$47:$L$47,0))</f>
        <v>2.26796</v>
      </c>
      <c r="E14" s="11" t="str">
        <f>IF('CompilationCalcs - Di et al.EOL'!C14=PlasticsUse!$D$93,Conversions!$A$17,IF('CompilationCalcs - Di et al.EOL'!C14=PlasticsUse!$L$93,Conversions!$A$18,Conversions!$A$16))</f>
        <v>N/A</v>
      </c>
      <c r="F14" s="11">
        <f>INDEX(EndOfLife!$J$64:$J$80,MATCH('CompilationCalcs - Di et al.EOL'!$A14,EndOfLife!$A$64:$A$80,0),1)*INDEX(PlasticsUse!$B$27:$L$43,MATCH('CompilationCalcs - Di et al.EOL'!$A14,PlasticsUse!$A$27:$A$43,0),MATCH('CompilationCalcs - Di et al.EOL'!$C14,PlasticsUse!$B$26:$L$26,0))</f>
        <v>1.8515035083167601</v>
      </c>
      <c r="G14" t="s">
        <v>287</v>
      </c>
      <c r="H14" s="11">
        <f>IFERROR(INDEX(EndOfLife!$L$64:$P$78,MATCH($A14,EndOfLife!$A$64:$A$78,0),MATCH($G14,EndOfLife!$L$63:$P$63,0))*INDEX(PlasticsUse!$B$27:$L$41,MATCH('CompilationCalcs - Di et al.EOL'!$A14,PlasticsUse!$A$27:$A$41,0),MATCH('CompilationCalcs - Di et al.EOL'!$C14,PlasticsUse!$B$26:$L$26,0)),0)</f>
        <v>0</v>
      </c>
    </row>
    <row r="15" spans="1:8" x14ac:dyDescent="0.2">
      <c r="A15" t="s">
        <v>82</v>
      </c>
      <c r="B15" t="s">
        <v>207</v>
      </c>
      <c r="C15" t="s">
        <v>38</v>
      </c>
      <c r="E15" s="11" t="str">
        <f>IF('CompilationCalcs - Di et al.EOL'!C15=PlasticsUse!$D$93,Conversions!$A$17,IF('CompilationCalcs - Di et al.EOL'!C15=PlasticsUse!$L$93,Conversions!$A$18,Conversions!$A$16))</f>
        <v>Transfer Station</v>
      </c>
      <c r="F15" s="11">
        <f t="shared" ref="F15:F68" si="0">D15</f>
        <v>0</v>
      </c>
      <c r="G15" t="s">
        <v>6</v>
      </c>
      <c r="H15" s="11">
        <f>IFERROR(INDEX(EndOfLife!$L$64:$P$78,MATCH($A15,EndOfLife!$A$64:$A$78,0),MATCH($G15,EndOfLife!$L$63:$P$63,0))*INDEX(PlasticsUse!$B$27:$L$41,MATCH('CompilationCalcs - Di et al.EOL'!$A15,PlasticsUse!$A$27:$A$41,0),MATCH('CompilationCalcs - Di et al.EOL'!$C15,PlasticsUse!$B$26:$L$26,0)),0)</f>
        <v>1.3242534304030247</v>
      </c>
    </row>
    <row r="16" spans="1:8" x14ac:dyDescent="0.2">
      <c r="A16" t="s">
        <v>82</v>
      </c>
      <c r="B16" t="s">
        <v>207</v>
      </c>
      <c r="C16" t="s">
        <v>99</v>
      </c>
      <c r="E16" s="11" t="str">
        <f>IF('CompilationCalcs - Di et al.EOL'!C16=PlasticsUse!$D$93,Conversions!$A$17,IF('CompilationCalcs - Di et al.EOL'!C16=PlasticsUse!$L$93,Conversions!$A$18,Conversions!$A$16))</f>
        <v>Transfer Station</v>
      </c>
      <c r="F16" s="11">
        <f t="shared" si="0"/>
        <v>0</v>
      </c>
      <c r="G16" t="s">
        <v>6</v>
      </c>
      <c r="H16" s="11">
        <f>IFERROR(INDEX(EndOfLife!$L$64:$P$78,MATCH($A16,EndOfLife!$A$64:$A$78,0),MATCH($G16,EndOfLife!$L$63:$P$63,0))*INDEX(PlasticsUse!$B$27:$L$41,MATCH('CompilationCalcs - Di et al.EOL'!$A16,PlasticsUse!$A$27:$A$41,0),MATCH('CompilationCalcs - Di et al.EOL'!$C16,PlasticsUse!$B$26:$L$26,0)),0)</f>
        <v>1.3242534304030247</v>
      </c>
    </row>
    <row r="17" spans="1:11" x14ac:dyDescent="0.2">
      <c r="A17" t="s">
        <v>82</v>
      </c>
      <c r="B17" t="s">
        <v>207</v>
      </c>
      <c r="C17" t="s">
        <v>69</v>
      </c>
      <c r="E17" s="11" t="str">
        <f>IF('CompilationCalcs - Di et al.EOL'!C17=PlasticsUse!$D$93,Conversions!$A$17,IF('CompilationCalcs - Di et al.EOL'!C17=PlasticsUse!$L$93,Conversions!$A$18,Conversions!$A$16))</f>
        <v>Automotive Shredding Facility</v>
      </c>
      <c r="F17" s="11">
        <f t="shared" si="0"/>
        <v>0</v>
      </c>
      <c r="G17" t="s">
        <v>6</v>
      </c>
      <c r="H17" s="11">
        <f>IFERROR(INDEX(EndOfLife!$L$64:$P$78,MATCH($A17,EndOfLife!$A$64:$A$78,0),MATCH($G17,EndOfLife!$L$63:$P$63,0))*INDEX(PlasticsUse!$B$27:$L$41,MATCH('CompilationCalcs - Di et al.EOL'!$A17,PlasticsUse!$A$27:$A$41,0),MATCH('CompilationCalcs - Di et al.EOL'!$C17,PlasticsUse!$B$26:$L$26,0)),0)</f>
        <v>1.3242534304030247</v>
      </c>
    </row>
    <row r="18" spans="1:11" x14ac:dyDescent="0.2">
      <c r="A18" t="s">
        <v>82</v>
      </c>
      <c r="B18" t="s">
        <v>207</v>
      </c>
      <c r="C18" t="s">
        <v>100</v>
      </c>
      <c r="E18" s="11" t="str">
        <f>IF('CompilationCalcs - Di et al.EOL'!C18=PlasticsUse!$D$93,Conversions!$A$17,IF('CompilationCalcs - Di et al.EOL'!C18=PlasticsUse!$L$93,Conversions!$A$18,Conversions!$A$16))</f>
        <v>Transfer Station</v>
      </c>
      <c r="F18" s="11">
        <f t="shared" si="0"/>
        <v>0</v>
      </c>
      <c r="G18" t="s">
        <v>6</v>
      </c>
      <c r="H18" s="11">
        <f>IFERROR(INDEX(EndOfLife!$L$64:$P$78,MATCH($A18,EndOfLife!$A$64:$A$78,0),MATCH($G18,EndOfLife!$L$63:$P$63,0))*INDEX(PlasticsUse!$B$27:$L$41,MATCH('CompilationCalcs - Di et al.EOL'!$A18,PlasticsUse!$A$27:$A$41,0),MATCH('CompilationCalcs - Di et al.EOL'!$C18,PlasticsUse!$B$26:$L$26,0)),0)</f>
        <v>1.3242534304030247</v>
      </c>
    </row>
    <row r="19" spans="1:11" x14ac:dyDescent="0.2">
      <c r="A19" t="s">
        <v>82</v>
      </c>
      <c r="B19" t="s">
        <v>207</v>
      </c>
      <c r="C19" t="s">
        <v>39</v>
      </c>
      <c r="E19" s="11" t="str">
        <f>IF('CompilationCalcs - Di et al.EOL'!C19=PlasticsUse!$D$93,Conversions!$A$17,IF('CompilationCalcs - Di et al.EOL'!C19=PlasticsUse!$L$93,Conversions!$A$18,Conversions!$A$16))</f>
        <v>Transfer Station</v>
      </c>
      <c r="F19" s="11">
        <f t="shared" si="0"/>
        <v>0</v>
      </c>
      <c r="G19" t="s">
        <v>6</v>
      </c>
      <c r="H19" s="11">
        <f>IFERROR(INDEX(EndOfLife!$L$64:$P$78,MATCH($A19,EndOfLife!$A$64:$A$78,0),MATCH($G19,EndOfLife!$L$63:$P$63,0))*INDEX(PlasticsUse!$B$27:$L$41,MATCH('CompilationCalcs - Di et al.EOL'!$A19,PlasticsUse!$A$27:$A$41,0),MATCH('CompilationCalcs - Di et al.EOL'!$C19,PlasticsUse!$B$26:$L$26,0)),0)</f>
        <v>1.3242534304030247</v>
      </c>
    </row>
    <row r="20" spans="1:11" x14ac:dyDescent="0.2">
      <c r="A20" t="s">
        <v>82</v>
      </c>
      <c r="B20" t="s">
        <v>207</v>
      </c>
      <c r="C20" t="s">
        <v>68</v>
      </c>
      <c r="E20" s="11" t="str">
        <f>IF('CompilationCalcs - Di et al.EOL'!C20=PlasticsUse!$D$93,Conversions!$A$17,IF('CompilationCalcs - Di et al.EOL'!C20=PlasticsUse!$L$93,Conversions!$A$18,Conversions!$A$16))</f>
        <v>Transfer Station</v>
      </c>
      <c r="F20" s="11">
        <f t="shared" si="0"/>
        <v>0</v>
      </c>
      <c r="G20" t="s">
        <v>6</v>
      </c>
      <c r="H20" s="11">
        <f>IFERROR(INDEX(EndOfLife!$L$64:$P$78,MATCH($A20,EndOfLife!$A$64:$A$78,0),MATCH($G20,EndOfLife!$L$63:$P$63,0))*INDEX(PlasticsUse!$B$27:$L$41,MATCH('CompilationCalcs - Di et al.EOL'!$A20,PlasticsUse!$A$27:$A$41,0),MATCH('CompilationCalcs - Di et al.EOL'!$C20,PlasticsUse!$B$26:$L$26,0)),0)</f>
        <v>1.3242534304030247</v>
      </c>
    </row>
    <row r="21" spans="1:11" x14ac:dyDescent="0.2">
      <c r="A21" t="s">
        <v>82</v>
      </c>
      <c r="B21" t="s">
        <v>207</v>
      </c>
      <c r="C21" t="s">
        <v>63</v>
      </c>
      <c r="E21" s="11" t="str">
        <f>IF('CompilationCalcs - Di et al.EOL'!C21=PlasticsUse!$D$93,Conversions!$A$17,IF('CompilationCalcs - Di et al.EOL'!C21=PlasticsUse!$L$93,Conversions!$A$18,Conversions!$A$16))</f>
        <v>Transfer Station</v>
      </c>
      <c r="F21" s="11">
        <f t="shared" si="0"/>
        <v>0</v>
      </c>
      <c r="G21" t="s">
        <v>6</v>
      </c>
      <c r="H21" s="11">
        <f>IFERROR(INDEX(EndOfLife!$L$64:$P$78,MATCH($A21,EndOfLife!$A$64:$A$78,0),MATCH($G21,EndOfLife!$L$63:$P$63,0))*INDEX(PlasticsUse!$B$27:$L$41,MATCH('CompilationCalcs - Di et al.EOL'!$A21,PlasticsUse!$A$27:$A$41,0),MATCH('CompilationCalcs - Di et al.EOL'!$C21,PlasticsUse!$B$26:$L$26,0)),0)</f>
        <v>1.3242534304030247</v>
      </c>
    </row>
    <row r="22" spans="1:11" x14ac:dyDescent="0.2">
      <c r="A22" t="s">
        <v>82</v>
      </c>
      <c r="B22" t="s">
        <v>207</v>
      </c>
      <c r="C22" t="s">
        <v>92</v>
      </c>
      <c r="E22" s="11" t="str">
        <f>IF('CompilationCalcs - Di et al.EOL'!C22=PlasticsUse!$D$93,Conversions!$A$17,IF('CompilationCalcs - Di et al.EOL'!C22=PlasticsUse!$L$93,Conversions!$A$18,Conversions!$A$16))</f>
        <v>Transfer Station</v>
      </c>
      <c r="F22" s="11">
        <f t="shared" si="0"/>
        <v>0</v>
      </c>
      <c r="G22" t="s">
        <v>6</v>
      </c>
      <c r="H22" s="11">
        <f>IFERROR(INDEX(EndOfLife!$L$64:$P$78,MATCH($A22,EndOfLife!$A$64:$A$78,0),MATCH($G22,EndOfLife!$L$63:$P$63,0))*INDEX(PlasticsUse!$B$27:$L$41,MATCH('CompilationCalcs - Di et al.EOL'!$A22,PlasticsUse!$A$27:$A$41,0),MATCH('CompilationCalcs - Di et al.EOL'!$C22,PlasticsUse!$B$26:$L$26,0)),0)</f>
        <v>1.3242534304030247</v>
      </c>
    </row>
    <row r="23" spans="1:11" x14ac:dyDescent="0.2">
      <c r="A23" t="s">
        <v>82</v>
      </c>
      <c r="B23" t="s">
        <v>207</v>
      </c>
      <c r="C23" t="s">
        <v>103</v>
      </c>
      <c r="E23" s="11" t="str">
        <f>IF('CompilationCalcs - Di et al.EOL'!C23=PlasticsUse!$D$93,Conversions!$A$17,IF('CompilationCalcs - Di et al.EOL'!C23=PlasticsUse!$L$93,Conversions!$A$18,Conversions!$A$16))</f>
        <v>Transfer Station</v>
      </c>
      <c r="F23" s="11">
        <f t="shared" si="0"/>
        <v>0</v>
      </c>
      <c r="G23" t="s">
        <v>6</v>
      </c>
      <c r="H23" s="11">
        <f>IFERROR(INDEX(EndOfLife!$L$64:$P$78,MATCH($A23,EndOfLife!$A$64:$A$78,0),MATCH($G23,EndOfLife!$L$63:$P$63,0))*INDEX(PlasticsUse!$B$27:$L$41,MATCH('CompilationCalcs - Di et al.EOL'!$A23,PlasticsUse!$A$27:$A$41,0),MATCH('CompilationCalcs - Di et al.EOL'!$C23,PlasticsUse!$B$26:$L$26,0)),0)</f>
        <v>1.3242534304030247</v>
      </c>
    </row>
    <row r="24" spans="1:11" x14ac:dyDescent="0.2">
      <c r="A24" t="s">
        <v>82</v>
      </c>
      <c r="B24" t="s">
        <v>207</v>
      </c>
      <c r="C24" t="s">
        <v>86</v>
      </c>
      <c r="D24" s="11"/>
      <c r="E24" s="11" t="str">
        <f>IF('CompilationCalcs - Di et al.EOL'!C24=PlasticsUse!$D$93,Conversions!$A$17,IF('CompilationCalcs - Di et al.EOL'!C24=PlasticsUse!$L$93,Conversions!$A$18,Conversions!$A$16))</f>
        <v>Transfer Station</v>
      </c>
      <c r="F24" s="11">
        <f t="shared" si="0"/>
        <v>0</v>
      </c>
      <c r="G24" t="s">
        <v>6</v>
      </c>
      <c r="H24" s="11">
        <f>IFERROR(INDEX(EndOfLife!$L$64:$P$78,MATCH($A24,EndOfLife!$A$64:$A$78,0),MATCH($G24,EndOfLife!$L$63:$P$63,0))*INDEX(PlasticsUse!$B$27:$L$41,MATCH('CompilationCalcs - Di et al.EOL'!$A24,PlasticsUse!$A$27:$A$41,0),MATCH('CompilationCalcs - Di et al.EOL'!$C24,PlasticsUse!$B$26:$L$26,0)),0)</f>
        <v>1.3242534304030247</v>
      </c>
    </row>
    <row r="25" spans="1:11" x14ac:dyDescent="0.2">
      <c r="A25" t="s">
        <v>82</v>
      </c>
      <c r="B25" t="s">
        <v>207</v>
      </c>
      <c r="C25" t="s">
        <v>18</v>
      </c>
      <c r="E25" s="11" t="str">
        <f>IF('CompilationCalcs - Di et al.EOL'!C25=PlasticsUse!$D$93,Conversions!$A$17,IF('CompilationCalcs - Di et al.EOL'!C25=PlasticsUse!$L$93,Conversions!$A$18,Conversions!$A$16))</f>
        <v>N/A</v>
      </c>
      <c r="F25" s="11">
        <f t="shared" si="0"/>
        <v>0</v>
      </c>
      <c r="G25" t="s">
        <v>287</v>
      </c>
      <c r="H25" s="11">
        <f>IFERROR(INDEX(EndOfLife!$L$64:$P$78,MATCH($A25,EndOfLife!$A$64:$A$78,0),MATCH($G25,EndOfLife!$L$63:$P$63,0))*INDEX(PlasticsUse!$B$27:$L$41,MATCH('CompilationCalcs - Di et al.EOL'!$A25,PlasticsUse!$A$27:$A$41,0),MATCH('CompilationCalcs - Di et al.EOL'!$C25,PlasticsUse!$B$26:$L$26,0)),0)</f>
        <v>0</v>
      </c>
    </row>
    <row r="26" spans="1:11" x14ac:dyDescent="0.2">
      <c r="A26" t="s">
        <v>82</v>
      </c>
      <c r="B26" t="s">
        <v>207</v>
      </c>
      <c r="C26" t="s">
        <v>38</v>
      </c>
      <c r="E26" s="11" t="str">
        <f>IF('CompilationCalcs - Di et al.EOL'!C26=PlasticsUse!$D$93,Conversions!$A$17,IF('CompilationCalcs - Di et al.EOL'!C26=PlasticsUse!$L$93,Conversions!$A$18,Conversions!$A$16))</f>
        <v>Transfer Station</v>
      </c>
      <c r="F26" s="11">
        <f t="shared" si="0"/>
        <v>0</v>
      </c>
      <c r="G26" t="s">
        <v>5</v>
      </c>
      <c r="H26" s="11">
        <f>IFERROR(INDEX(EndOfLife!$L$64:$P$78,MATCH($A26,EndOfLife!$A$64:$A$78,0),MATCH($G26,EndOfLife!$L$63:$P$63,0))*INDEX(PlasticsUse!$B$27:$L$41,MATCH('CompilationCalcs - Di et al.EOL'!$A26,PlasticsUse!$A$27:$A$41,0),MATCH('CompilationCalcs - Di et al.EOL'!$C26,PlasticsUse!$B$26:$L$26,0)),0)</f>
        <v>0.15551672443864242</v>
      </c>
    </row>
    <row r="27" spans="1:11" x14ac:dyDescent="0.2">
      <c r="A27" t="s">
        <v>82</v>
      </c>
      <c r="B27" t="s">
        <v>207</v>
      </c>
      <c r="C27" t="s">
        <v>99</v>
      </c>
      <c r="E27" s="11" t="str">
        <f>IF('CompilationCalcs - Di et al.EOL'!C27=PlasticsUse!$D$93,Conversions!$A$17,IF('CompilationCalcs - Di et al.EOL'!C27=PlasticsUse!$L$93,Conversions!$A$18,Conversions!$A$16))</f>
        <v>Transfer Station</v>
      </c>
      <c r="F27" s="11">
        <f t="shared" si="0"/>
        <v>0</v>
      </c>
      <c r="G27" t="s">
        <v>5</v>
      </c>
      <c r="H27" s="11">
        <f>IFERROR(INDEX(EndOfLife!$L$64:$P$78,MATCH($A27,EndOfLife!$A$64:$A$78,0),MATCH($G27,EndOfLife!$L$63:$P$63,0))*INDEX(PlasticsUse!$B$27:$L$41,MATCH('CompilationCalcs - Di et al.EOL'!$A27,PlasticsUse!$A$27:$A$41,0),MATCH('CompilationCalcs - Di et al.EOL'!$C27,PlasticsUse!$B$26:$L$26,0)),0)</f>
        <v>0.15551672443864242</v>
      </c>
    </row>
    <row r="28" spans="1:11" x14ac:dyDescent="0.2">
      <c r="A28" t="s">
        <v>82</v>
      </c>
      <c r="B28" t="s">
        <v>207</v>
      </c>
      <c r="C28" t="s">
        <v>69</v>
      </c>
      <c r="E28" s="11" t="str">
        <f>IF('CompilationCalcs - Di et al.EOL'!C28=PlasticsUse!$D$93,Conversions!$A$17,IF('CompilationCalcs - Di et al.EOL'!C28=PlasticsUse!$L$93,Conversions!$A$18,Conversions!$A$16))</f>
        <v>Automotive Shredding Facility</v>
      </c>
      <c r="F28" s="11">
        <f t="shared" si="0"/>
        <v>0</v>
      </c>
      <c r="G28" t="s">
        <v>5</v>
      </c>
      <c r="H28" s="11">
        <f>IFERROR(INDEX(EndOfLife!$L$64:$P$78,MATCH($A28,EndOfLife!$A$64:$A$78,0),MATCH($G28,EndOfLife!$L$63:$P$63,0))*INDEX(PlasticsUse!$B$27:$L$41,MATCH('CompilationCalcs - Di et al.EOL'!$A28,PlasticsUse!$A$27:$A$41,0),MATCH('CompilationCalcs - Di et al.EOL'!$C28,PlasticsUse!$B$26:$L$26,0)),0)</f>
        <v>0.15551672443864242</v>
      </c>
    </row>
    <row r="29" spans="1:11" x14ac:dyDescent="0.2">
      <c r="A29" t="s">
        <v>82</v>
      </c>
      <c r="B29" t="s">
        <v>207</v>
      </c>
      <c r="C29" t="s">
        <v>100</v>
      </c>
      <c r="E29" s="11" t="str">
        <f>IF('CompilationCalcs - Di et al.EOL'!C29=PlasticsUse!$D$93,Conversions!$A$17,IF('CompilationCalcs - Di et al.EOL'!C29=PlasticsUse!$L$93,Conversions!$A$18,Conversions!$A$16))</f>
        <v>Transfer Station</v>
      </c>
      <c r="F29" s="11">
        <f t="shared" si="0"/>
        <v>0</v>
      </c>
      <c r="G29" t="s">
        <v>5</v>
      </c>
      <c r="H29" s="11">
        <f>IFERROR(INDEX(EndOfLife!$L$64:$P$78,MATCH($A29,EndOfLife!$A$64:$A$78,0),MATCH($G29,EndOfLife!$L$63:$P$63,0))*INDEX(PlasticsUse!$B$27:$L$41,MATCH('CompilationCalcs - Di et al.EOL'!$A29,PlasticsUse!$A$27:$A$41,0),MATCH('CompilationCalcs - Di et al.EOL'!$C29,PlasticsUse!$B$26:$L$26,0)),0)</f>
        <v>0.15551672443864242</v>
      </c>
      <c r="K29" s="28"/>
    </row>
    <row r="30" spans="1:11" x14ac:dyDescent="0.2">
      <c r="A30" t="s">
        <v>82</v>
      </c>
      <c r="B30" t="s">
        <v>207</v>
      </c>
      <c r="C30" t="s">
        <v>39</v>
      </c>
      <c r="E30" s="11" t="str">
        <f>IF('CompilationCalcs - Di et al.EOL'!C30=PlasticsUse!$D$93,Conversions!$A$17,IF('CompilationCalcs - Di et al.EOL'!C30=PlasticsUse!$L$93,Conversions!$A$18,Conversions!$A$16))</f>
        <v>Transfer Station</v>
      </c>
      <c r="F30" s="11">
        <f t="shared" si="0"/>
        <v>0</v>
      </c>
      <c r="G30" t="s">
        <v>5</v>
      </c>
      <c r="H30" s="11">
        <f>IFERROR(INDEX(EndOfLife!$L$64:$P$78,MATCH($A30,EndOfLife!$A$64:$A$78,0),MATCH($G30,EndOfLife!$L$63:$P$63,0))*INDEX(PlasticsUse!$B$27:$L$41,MATCH('CompilationCalcs - Di et al.EOL'!$A30,PlasticsUse!$A$27:$A$41,0),MATCH('CompilationCalcs - Di et al.EOL'!$C30,PlasticsUse!$B$26:$L$26,0)),0)</f>
        <v>0.15551672443864242</v>
      </c>
      <c r="K30" s="28"/>
    </row>
    <row r="31" spans="1:11" x14ac:dyDescent="0.2">
      <c r="A31" t="s">
        <v>82</v>
      </c>
      <c r="B31" t="s">
        <v>207</v>
      </c>
      <c r="C31" t="s">
        <v>63</v>
      </c>
      <c r="E31" s="11" t="str">
        <f>IF('CompilationCalcs - Di et al.EOL'!C31=PlasticsUse!$D$93,Conversions!$A$17,IF('CompilationCalcs - Di et al.EOL'!C31=PlasticsUse!$L$93,Conversions!$A$18,Conversions!$A$16))</f>
        <v>Transfer Station</v>
      </c>
      <c r="F31" s="11">
        <f t="shared" si="0"/>
        <v>0</v>
      </c>
      <c r="G31" t="s">
        <v>5</v>
      </c>
      <c r="H31" s="11">
        <f>IFERROR(INDEX(EndOfLife!$L$64:$P$78,MATCH($A31,EndOfLife!$A$64:$A$78,0),MATCH($G31,EndOfLife!$L$63:$P$63,0))*INDEX(PlasticsUse!$B$27:$L$41,MATCH('CompilationCalcs - Di et al.EOL'!$A31,PlasticsUse!$A$27:$A$41,0),MATCH('CompilationCalcs - Di et al.EOL'!$C31,PlasticsUse!$B$26:$L$26,0)),0)</f>
        <v>0.15551672443864242</v>
      </c>
      <c r="K31" s="28"/>
    </row>
    <row r="32" spans="1:11" x14ac:dyDescent="0.2">
      <c r="A32" t="s">
        <v>82</v>
      </c>
      <c r="B32" t="s">
        <v>207</v>
      </c>
      <c r="C32" t="s">
        <v>92</v>
      </c>
      <c r="E32" s="11" t="str">
        <f>IF('CompilationCalcs - Di et al.EOL'!C32=PlasticsUse!$D$93,Conversions!$A$17,IF('CompilationCalcs - Di et al.EOL'!C32=PlasticsUse!$L$93,Conversions!$A$18,Conversions!$A$16))</f>
        <v>Transfer Station</v>
      </c>
      <c r="F32" s="11">
        <f t="shared" si="0"/>
        <v>0</v>
      </c>
      <c r="G32" t="s">
        <v>5</v>
      </c>
      <c r="H32" s="11">
        <f>IFERROR(INDEX(EndOfLife!$L$64:$P$78,MATCH($A32,EndOfLife!$A$64:$A$78,0),MATCH($G32,EndOfLife!$L$63:$P$63,0))*INDEX(PlasticsUse!$B$27:$L$41,MATCH('CompilationCalcs - Di et al.EOL'!$A32,PlasticsUse!$A$27:$A$41,0),MATCH('CompilationCalcs - Di et al.EOL'!$C32,PlasticsUse!$B$26:$L$26,0)),0)</f>
        <v>0.15551672443864242</v>
      </c>
    </row>
    <row r="33" spans="1:8" x14ac:dyDescent="0.2">
      <c r="A33" t="s">
        <v>82</v>
      </c>
      <c r="B33" t="s">
        <v>207</v>
      </c>
      <c r="C33" t="s">
        <v>103</v>
      </c>
      <c r="E33" s="11" t="str">
        <f>IF('CompilationCalcs - Di et al.EOL'!C33=PlasticsUse!$D$93,Conversions!$A$17,IF('CompilationCalcs - Di et al.EOL'!C33=PlasticsUse!$L$93,Conversions!$A$18,Conversions!$A$16))</f>
        <v>Transfer Station</v>
      </c>
      <c r="F33" s="11">
        <f t="shared" si="0"/>
        <v>0</v>
      </c>
      <c r="G33" t="s">
        <v>5</v>
      </c>
      <c r="H33" s="11">
        <f>IFERROR(INDEX(EndOfLife!$L$64:$P$78,MATCH($A33,EndOfLife!$A$64:$A$78,0),MATCH($G33,EndOfLife!$L$63:$P$63,0))*INDEX(PlasticsUse!$B$27:$L$41,MATCH('CompilationCalcs - Di et al.EOL'!$A33,PlasticsUse!$A$27:$A$41,0),MATCH('CompilationCalcs - Di et al.EOL'!$C33,PlasticsUse!$B$26:$L$26,0)),0)</f>
        <v>0.15551672443864242</v>
      </c>
    </row>
    <row r="34" spans="1:8" x14ac:dyDescent="0.2">
      <c r="A34" t="s">
        <v>82</v>
      </c>
      <c r="B34" t="s">
        <v>207</v>
      </c>
      <c r="C34" t="s">
        <v>86</v>
      </c>
      <c r="D34" s="11"/>
      <c r="E34" s="11" t="str">
        <f>IF('CompilationCalcs - Di et al.EOL'!C34=PlasticsUse!$D$93,Conversions!$A$17,IF('CompilationCalcs - Di et al.EOL'!C34=PlasticsUse!$L$93,Conversions!$A$18,Conversions!$A$16))</f>
        <v>Transfer Station</v>
      </c>
      <c r="F34" s="11">
        <f t="shared" si="0"/>
        <v>0</v>
      </c>
      <c r="G34" t="s">
        <v>5</v>
      </c>
      <c r="H34" s="11">
        <f>IFERROR(INDEX(EndOfLife!$L$64:$P$78,MATCH($A34,EndOfLife!$A$64:$A$78,0),MATCH($G34,EndOfLife!$L$63:$P$63,0))*INDEX(PlasticsUse!$B$27:$L$41,MATCH('CompilationCalcs - Di et al.EOL'!$A34,PlasticsUse!$A$27:$A$41,0),MATCH('CompilationCalcs - Di et al.EOL'!$C34,PlasticsUse!$B$26:$L$26,0)),0)</f>
        <v>0.15551672443864242</v>
      </c>
    </row>
    <row r="35" spans="1:8" x14ac:dyDescent="0.2">
      <c r="A35" t="s">
        <v>82</v>
      </c>
      <c r="B35" t="s">
        <v>207</v>
      </c>
      <c r="C35" t="s">
        <v>18</v>
      </c>
      <c r="E35" s="11" t="str">
        <f>IF('CompilationCalcs - Di et al.EOL'!C35=PlasticsUse!$D$93,Conversions!$A$17,IF('CompilationCalcs - Di et al.EOL'!C35=PlasticsUse!$L$93,Conversions!$A$18,Conversions!$A$16))</f>
        <v>N/A</v>
      </c>
      <c r="F35" s="11">
        <f t="shared" si="0"/>
        <v>0</v>
      </c>
      <c r="G35" t="s">
        <v>287</v>
      </c>
      <c r="H35" s="11">
        <f>IFERROR(INDEX(EndOfLife!$L$64:$P$78,MATCH($A35,EndOfLife!$A$64:$A$78,0),MATCH($G35,EndOfLife!$L$63:$P$63,0))*INDEX(PlasticsUse!$B$27:$L$41,MATCH('CompilationCalcs - Di et al.EOL'!$A35,PlasticsUse!$A$27:$A$41,0),MATCH('CompilationCalcs - Di et al.EOL'!$C35,PlasticsUse!$B$26:$L$26,0)),0)</f>
        <v>0</v>
      </c>
    </row>
    <row r="36" spans="1:8" ht="17" x14ac:dyDescent="0.2">
      <c r="A36" t="s">
        <v>82</v>
      </c>
      <c r="B36" t="s">
        <v>207</v>
      </c>
      <c r="E36" s="11" t="s">
        <v>191</v>
      </c>
      <c r="F36" s="11">
        <f t="shared" si="0"/>
        <v>0</v>
      </c>
      <c r="G36" s="28" t="s">
        <v>360</v>
      </c>
      <c r="H36" s="11">
        <f>INDEX(EndOfLife!$T$64:$X$78,MATCH('CompilationCalcs - Di et al.EOL'!$A36,EndOfLife!$S$64:$S$78,0),MATCH('CompilationCalcs - Di et al.EOL'!$G36,EndOfLife!$T$63:$X$63,0))</f>
        <v>1.4605624041391865</v>
      </c>
    </row>
    <row r="37" spans="1:8" ht="17" x14ac:dyDescent="0.2">
      <c r="A37" t="s">
        <v>82</v>
      </c>
      <c r="B37" t="s">
        <v>207</v>
      </c>
      <c r="E37" s="11" t="s">
        <v>191</v>
      </c>
      <c r="F37" s="11">
        <f t="shared" si="0"/>
        <v>0</v>
      </c>
      <c r="G37" s="28" t="s">
        <v>361</v>
      </c>
      <c r="H37" s="11">
        <f>INDEX(EndOfLife!$T$64:$X$78,MATCH('CompilationCalcs - Di et al.EOL'!$A37,EndOfLife!$S$64:$S$78,0),MATCH('CompilationCalcs - Di et al.EOL'!$G37,EndOfLife!$T$63:$X$63,0))</f>
        <v>0.78325325221206077</v>
      </c>
    </row>
    <row r="38" spans="1:8" ht="17" x14ac:dyDescent="0.2">
      <c r="A38" t="s">
        <v>82</v>
      </c>
      <c r="B38" t="s">
        <v>207</v>
      </c>
      <c r="E38" s="11" t="s">
        <v>360</v>
      </c>
      <c r="F38" s="11">
        <f t="shared" si="0"/>
        <v>0</v>
      </c>
      <c r="G38" s="28" t="s">
        <v>192</v>
      </c>
      <c r="H38" s="11">
        <f>INDEX(EndOfLife!$T$64:$X$78,MATCH('CompilationCalcs - Di et al.EOL'!$A38,EndOfLife!$S$64:$S$78,0),MATCH('CompilationCalcs - Di et al.EOL'!$G38,EndOfLife!$T$63:$X$63,0))</f>
        <v>1.4605624041391865</v>
      </c>
    </row>
    <row r="39" spans="1:8" ht="17" x14ac:dyDescent="0.2">
      <c r="A39" t="s">
        <v>82</v>
      </c>
      <c r="B39" t="s">
        <v>207</v>
      </c>
      <c r="E39" s="11" t="s">
        <v>191</v>
      </c>
      <c r="F39" s="11">
        <f t="shared" si="0"/>
        <v>0</v>
      </c>
      <c r="G39" s="28" t="s">
        <v>193</v>
      </c>
      <c r="H39" s="11">
        <f>INDEX(EndOfLife!$T$64:$X$78,MATCH('CompilationCalcs - Di et al.EOL'!$A39,EndOfLife!$S$64:$S$78,0),MATCH('CompilationCalcs - Di et al.EOL'!$G39,EndOfLife!$T$63:$X$63,0))</f>
        <v>1.1324967278435194</v>
      </c>
    </row>
    <row r="40" spans="1:8" x14ac:dyDescent="0.2">
      <c r="A40" t="s">
        <v>127</v>
      </c>
      <c r="B40" t="s">
        <v>206</v>
      </c>
      <c r="C40" t="s">
        <v>38</v>
      </c>
      <c r="D40" s="11">
        <f>INDEX(PlasticsUse!$B$48:$L$64,MATCH('CompilationCalcs - Di et al.EOL'!$A40,PlasticsUse!$A$48:$A$64,0),MATCH('CompilationCalcs - Di et al.EOL'!$C40,PlasticsUse!$B$47:$L$47,0))</f>
        <v>0</v>
      </c>
      <c r="E40" s="11" t="str">
        <f>IF('CompilationCalcs - Di et al.EOL'!C40=PlasticsUse!$D$93,Conversions!$A$17,IF('CompilationCalcs - Di et al.EOL'!C40=PlasticsUse!$L$93,Conversions!$A$18,Conversions!$A$16))</f>
        <v>Transfer Station</v>
      </c>
      <c r="F40" s="11">
        <f>INDEX('In-Use Stocks'!$M$81:$V$97,MATCH('CompilationCalcs - Di et al.EOL'!$A40,'In-Use Stocks'!$L$81:$L$97,0),MATCH('CompilationCalcs - Di et al.EOL'!$C40,'In-Use Stocks'!$M$80:$V$80,0))</f>
        <v>0</v>
      </c>
      <c r="G40" t="s">
        <v>191</v>
      </c>
      <c r="H40" s="11">
        <f>IFERROR(INDEX(EndOfLife!$L$64:$P$78,MATCH($A40,EndOfLife!$A$64:$A$78,0),MATCH($G40,EndOfLife!$L$63:$P$63,0))*INDEX(PlasticsUse!$B$27:$L$41,MATCH('CompilationCalcs - Di et al.EOL'!$A40,PlasticsUse!$A$27:$A$41,0),MATCH('CompilationCalcs - Di et al.EOL'!$C40,PlasticsUse!$B$26:$L$26,0)),0)</f>
        <v>0</v>
      </c>
    </row>
    <row r="41" spans="1:8" x14ac:dyDescent="0.2">
      <c r="A41" t="s">
        <v>127</v>
      </c>
      <c r="B41" t="s">
        <v>206</v>
      </c>
      <c r="C41" t="s">
        <v>99</v>
      </c>
      <c r="D41" s="11">
        <f>INDEX(PlasticsUse!$B$48:$L$64,MATCH('CompilationCalcs - Di et al.EOL'!$A41,PlasticsUse!$A$48:$A$64,0),MATCH('CompilationCalcs - Di et al.EOL'!$C41,PlasticsUse!$B$47:$L$47,0))</f>
        <v>0</v>
      </c>
      <c r="E41" s="11" t="str">
        <f>IF('CompilationCalcs - Di et al.EOL'!C41=PlasticsUse!$D$93,Conversions!$A$17,IF('CompilationCalcs - Di et al.EOL'!C41=PlasticsUse!$L$93,Conversions!$A$18,Conversions!$A$16))</f>
        <v>Transfer Station</v>
      </c>
      <c r="F41" s="11">
        <f>INDEX('In-Use Stocks'!$M$81:$V$97,MATCH('CompilationCalcs - Di et al.EOL'!$A41,'In-Use Stocks'!$L$81:$L$97,0),MATCH('CompilationCalcs - Di et al.EOL'!$C41,'In-Use Stocks'!$M$80:$V$80,0))</f>
        <v>0</v>
      </c>
      <c r="G41" t="s">
        <v>191</v>
      </c>
      <c r="H41" s="11">
        <f>IFERROR(INDEX(EndOfLife!$L$64:$P$78,MATCH($A41,EndOfLife!$A$64:$A$78,0),MATCH($G41,EndOfLife!$L$63:$P$63,0))*INDEX(PlasticsUse!$B$27:$L$41,MATCH('CompilationCalcs - Di et al.EOL'!$A41,PlasticsUse!$A$27:$A$41,0),MATCH('CompilationCalcs - Di et al.EOL'!$C41,PlasticsUse!$B$26:$L$26,0)),0)</f>
        <v>0</v>
      </c>
    </row>
    <row r="42" spans="1:8" x14ac:dyDescent="0.2">
      <c r="A42" t="s">
        <v>127</v>
      </c>
      <c r="B42" t="s">
        <v>206</v>
      </c>
      <c r="C42" t="s">
        <v>69</v>
      </c>
      <c r="D42" s="11">
        <f>INDEX(PlasticsUse!$B$48:$L$64,MATCH('CompilationCalcs - Di et al.EOL'!$A42,PlasticsUse!$A$48:$A$64,0),MATCH('CompilationCalcs - Di et al.EOL'!$C42,PlasticsUse!$B$47:$L$47,0))</f>
        <v>0</v>
      </c>
      <c r="E42" s="11" t="str">
        <f>IF('CompilationCalcs - Di et al.EOL'!C42=PlasticsUse!$D$93,Conversions!$A$17,IF('CompilationCalcs - Di et al.EOL'!C42=PlasticsUse!$L$93,Conversions!$A$18,Conversions!$A$16))</f>
        <v>Automotive Shredding Facility</v>
      </c>
      <c r="F42" s="11">
        <f>INDEX('In-Use Stocks'!$M$81:$V$97,MATCH('CompilationCalcs - Di et al.EOL'!$A42,'In-Use Stocks'!$L$81:$L$97,0),MATCH('CompilationCalcs - Di et al.EOL'!$C42,'In-Use Stocks'!$M$80:$V$80,0))</f>
        <v>0</v>
      </c>
      <c r="G42" t="s">
        <v>191</v>
      </c>
      <c r="H42" s="11">
        <f>IFERROR(INDEX(EndOfLife!$L$64:$P$78,MATCH($A42,EndOfLife!$A$64:$A$78,0),MATCH($G42,EndOfLife!$L$63:$P$63,0))*INDEX(PlasticsUse!$B$27:$L$41,MATCH('CompilationCalcs - Di et al.EOL'!$A42,PlasticsUse!$A$27:$A$41,0),MATCH('CompilationCalcs - Di et al.EOL'!$C42,PlasticsUse!$B$26:$L$26,0)),0)</f>
        <v>0</v>
      </c>
    </row>
    <row r="43" spans="1:8" x14ac:dyDescent="0.2">
      <c r="A43" t="s">
        <v>127</v>
      </c>
      <c r="B43" t="s">
        <v>206</v>
      </c>
      <c r="C43" t="s">
        <v>100</v>
      </c>
      <c r="D43" s="11">
        <f>INDEX(PlasticsUse!$B$48:$L$64,MATCH('CompilationCalcs - Di et al.EOL'!$A43,PlasticsUse!$A$48:$A$64,0),MATCH('CompilationCalcs - Di et al.EOL'!$C43,PlasticsUse!$B$47:$L$47,0))</f>
        <v>0</v>
      </c>
      <c r="E43" s="11" t="str">
        <f>IF('CompilationCalcs - Di et al.EOL'!C43=PlasticsUse!$D$93,Conversions!$A$17,IF('CompilationCalcs - Di et al.EOL'!C43=PlasticsUse!$L$93,Conversions!$A$18,Conversions!$A$16))</f>
        <v>Transfer Station</v>
      </c>
      <c r="F43" s="11">
        <f>INDEX('In-Use Stocks'!$M$81:$V$97,MATCH('CompilationCalcs - Di et al.EOL'!$A43,'In-Use Stocks'!$L$81:$L$97,0),MATCH('CompilationCalcs - Di et al.EOL'!$C43,'In-Use Stocks'!$M$80:$V$80,0))</f>
        <v>0</v>
      </c>
      <c r="G43" t="s">
        <v>191</v>
      </c>
      <c r="H43" s="11">
        <f>IFERROR(INDEX(EndOfLife!$L$64:$P$78,MATCH($A43,EndOfLife!$A$64:$A$78,0),MATCH($G43,EndOfLife!$L$63:$P$63,0))*INDEX(PlasticsUse!$B$27:$L$41,MATCH('CompilationCalcs - Di et al.EOL'!$A43,PlasticsUse!$A$27:$A$41,0),MATCH('CompilationCalcs - Di et al.EOL'!$C43,PlasticsUse!$B$26:$L$26,0)),0)</f>
        <v>0</v>
      </c>
    </row>
    <row r="44" spans="1:8" x14ac:dyDescent="0.2">
      <c r="A44" t="s">
        <v>127</v>
      </c>
      <c r="B44" t="s">
        <v>206</v>
      </c>
      <c r="C44" t="s">
        <v>39</v>
      </c>
      <c r="D44" s="11">
        <f>INDEX(PlasticsUse!$B$48:$L$64,MATCH('CompilationCalcs - Di et al.EOL'!$A44,PlasticsUse!$A$48:$A$64,0),MATCH('CompilationCalcs - Di et al.EOL'!$C44,PlasticsUse!$B$47:$L$47,0))</f>
        <v>0</v>
      </c>
      <c r="E44" s="11" t="str">
        <f>IF('CompilationCalcs - Di et al.EOL'!C44=PlasticsUse!$D$93,Conversions!$A$17,IF('CompilationCalcs - Di et al.EOL'!C44=PlasticsUse!$L$93,Conversions!$A$18,Conversions!$A$16))</f>
        <v>Transfer Station</v>
      </c>
      <c r="F44" s="11">
        <f>INDEX('In-Use Stocks'!$M$81:$V$97,MATCH('CompilationCalcs - Di et al.EOL'!$A44,'In-Use Stocks'!$L$81:$L$97,0),MATCH('CompilationCalcs - Di et al.EOL'!$C44,'In-Use Stocks'!$M$80:$V$80,0))</f>
        <v>0</v>
      </c>
      <c r="G44" t="s">
        <v>191</v>
      </c>
      <c r="H44" s="11">
        <f>IFERROR(INDEX(EndOfLife!$L$64:$P$78,MATCH($A44,EndOfLife!$A$64:$A$78,0),MATCH($G44,EndOfLife!$L$63:$P$63,0))*INDEX(PlasticsUse!$B$27:$L$41,MATCH('CompilationCalcs - Di et al.EOL'!$A44,PlasticsUse!$A$27:$A$41,0),MATCH('CompilationCalcs - Di et al.EOL'!$C44,PlasticsUse!$B$26:$L$26,0)),0)</f>
        <v>0</v>
      </c>
    </row>
    <row r="45" spans="1:8" x14ac:dyDescent="0.2">
      <c r="A45" t="s">
        <v>127</v>
      </c>
      <c r="B45" t="s">
        <v>206</v>
      </c>
      <c r="C45" t="s">
        <v>68</v>
      </c>
      <c r="D45" s="11">
        <f>INDEX(PlasticsUse!$B$48:$L$64,MATCH('CompilationCalcs - Di et al.EOL'!$A45,PlasticsUse!$A$48:$A$64,0),MATCH('CompilationCalcs - Di et al.EOL'!$C45,PlasticsUse!$B$47:$L$47,0))</f>
        <v>0</v>
      </c>
      <c r="E45" s="11" t="str">
        <f>IF('CompilationCalcs - Di et al.EOL'!C45=PlasticsUse!$D$93,Conversions!$A$17,IF('CompilationCalcs - Di et al.EOL'!C45=PlasticsUse!$L$93,Conversions!$A$18,Conversions!$A$16))</f>
        <v>Transfer Station</v>
      </c>
      <c r="F45" s="11">
        <f>INDEX('In-Use Stocks'!$M$81:$V$97,MATCH('CompilationCalcs - Di et al.EOL'!$A45,'In-Use Stocks'!$L$81:$L$97,0),MATCH('CompilationCalcs - Di et al.EOL'!$C45,'In-Use Stocks'!$M$80:$V$80,0))</f>
        <v>0</v>
      </c>
      <c r="G45" t="s">
        <v>333</v>
      </c>
      <c r="H45" s="11">
        <f>IFERROR(INDEX(EndOfLife!$L$64:$P$78,MATCH($A45,EndOfLife!$A$64:$A$78,0),MATCH($G45,EndOfLife!$L$63:$P$63,0))*INDEX(PlasticsUse!$B$27:$L$41,MATCH('CompilationCalcs - Di et al.EOL'!$A45,PlasticsUse!$A$27:$A$41,0),MATCH('CompilationCalcs - Di et al.EOL'!$C45,PlasticsUse!$B$26:$L$26,0)),0)</f>
        <v>0</v>
      </c>
    </row>
    <row r="46" spans="1:8" x14ac:dyDescent="0.2">
      <c r="A46" t="s">
        <v>127</v>
      </c>
      <c r="B46" t="s">
        <v>206</v>
      </c>
      <c r="C46" t="s">
        <v>63</v>
      </c>
      <c r="D46" s="11">
        <f>INDEX(PlasticsUse!$B$48:$L$64,MATCH('CompilationCalcs - Di et al.EOL'!$A46,PlasticsUse!$A$48:$A$64,0),MATCH('CompilationCalcs - Di et al.EOL'!$C46,PlasticsUse!$B$47:$L$47,0))</f>
        <v>0</v>
      </c>
      <c r="E46" s="11" t="str">
        <f>IF('CompilationCalcs - Di et al.EOL'!C46=PlasticsUse!$D$93,Conversions!$A$17,IF('CompilationCalcs - Di et al.EOL'!C46=PlasticsUse!$L$93,Conversions!$A$18,Conversions!$A$16))</f>
        <v>Transfer Station</v>
      </c>
      <c r="F46" s="11">
        <f>INDEX('In-Use Stocks'!$M$81:$V$97,MATCH('CompilationCalcs - Di et al.EOL'!$A46,'In-Use Stocks'!$L$81:$L$97,0),MATCH('CompilationCalcs - Di et al.EOL'!$C46,'In-Use Stocks'!$M$80:$V$80,0))</f>
        <v>0</v>
      </c>
      <c r="G46" t="s">
        <v>191</v>
      </c>
      <c r="H46" s="11">
        <f>IFERROR(INDEX(EndOfLife!$L$64:$P$78,MATCH($A46,EndOfLife!$A$64:$A$78,0),MATCH($G46,EndOfLife!$L$63:$P$63,0))*INDEX(PlasticsUse!$B$27:$L$41,MATCH('CompilationCalcs - Di et al.EOL'!$A46,PlasticsUse!$A$27:$A$41,0),MATCH('CompilationCalcs - Di et al.EOL'!$C46,PlasticsUse!$B$26:$L$26,0)),0)</f>
        <v>0</v>
      </c>
    </row>
    <row r="47" spans="1:8" x14ac:dyDescent="0.2">
      <c r="A47" t="s">
        <v>127</v>
      </c>
      <c r="B47" t="s">
        <v>206</v>
      </c>
      <c r="C47" t="s">
        <v>92</v>
      </c>
      <c r="D47" s="11">
        <f>INDEX(PlasticsUse!$B$48:$L$64,MATCH('CompilationCalcs - Di et al.EOL'!$A47,PlasticsUse!$A$48:$A$64,0),MATCH('CompilationCalcs - Di et al.EOL'!$C47,PlasticsUse!$B$47:$L$47,0))</f>
        <v>0</v>
      </c>
      <c r="E47" s="11" t="str">
        <f>IF('CompilationCalcs - Di et al.EOL'!C47=PlasticsUse!$D$93,Conversions!$A$17,IF('CompilationCalcs - Di et al.EOL'!C47=PlasticsUse!$L$93,Conversions!$A$18,Conversions!$A$16))</f>
        <v>Transfer Station</v>
      </c>
      <c r="F47" s="11">
        <f>INDEX('In-Use Stocks'!$M$81:$V$97,MATCH('CompilationCalcs - Di et al.EOL'!$A47,'In-Use Stocks'!$L$81:$L$97,0),MATCH('CompilationCalcs - Di et al.EOL'!$C47,'In-Use Stocks'!$M$80:$V$80,0))</f>
        <v>0</v>
      </c>
      <c r="G47" t="s">
        <v>191</v>
      </c>
      <c r="H47" s="11">
        <f>IFERROR(INDEX(EndOfLife!$L$64:$P$78,MATCH($A47,EndOfLife!$A$64:$A$78,0),MATCH($G47,EndOfLife!$L$63:$P$63,0))*INDEX(PlasticsUse!$B$27:$L$41,MATCH('CompilationCalcs - Di et al.EOL'!$A47,PlasticsUse!$A$27:$A$41,0),MATCH('CompilationCalcs - Di et al.EOL'!$C47,PlasticsUse!$B$26:$L$26,0)),0)</f>
        <v>0</v>
      </c>
    </row>
    <row r="48" spans="1:8" x14ac:dyDescent="0.2">
      <c r="A48" t="s">
        <v>127</v>
      </c>
      <c r="B48" t="s">
        <v>206</v>
      </c>
      <c r="C48" t="s">
        <v>103</v>
      </c>
      <c r="D48" s="11">
        <f>INDEX(PlasticsUse!$B$48:$L$64,MATCH('CompilationCalcs - Di et al.EOL'!$A48,PlasticsUse!$A$48:$A$64,0),MATCH('CompilationCalcs - Di et al.EOL'!$C48,PlasticsUse!$B$47:$L$47,0))</f>
        <v>0</v>
      </c>
      <c r="E48" s="11" t="str">
        <f>IF('CompilationCalcs - Di et al.EOL'!C48=PlasticsUse!$D$93,Conversions!$A$17,IF('CompilationCalcs - Di et al.EOL'!C48=PlasticsUse!$L$93,Conversions!$A$18,Conversions!$A$16))</f>
        <v>Transfer Station</v>
      </c>
      <c r="F48" s="11">
        <f>INDEX('In-Use Stocks'!$M$81:$V$97,MATCH('CompilationCalcs - Di et al.EOL'!$A48,'In-Use Stocks'!$L$81:$L$97,0),MATCH('CompilationCalcs - Di et al.EOL'!$C48,'In-Use Stocks'!$M$80:$V$80,0))</f>
        <v>0</v>
      </c>
      <c r="G48" t="s">
        <v>191</v>
      </c>
      <c r="H48" s="11">
        <f>IFERROR(INDEX(EndOfLife!$L$64:$P$78,MATCH($A48,EndOfLife!$A$64:$A$78,0),MATCH($G48,EndOfLife!$L$63:$P$63,0))*INDEX(PlasticsUse!$B$27:$L$41,MATCH('CompilationCalcs - Di et al.EOL'!$A48,PlasticsUse!$A$27:$A$41,0),MATCH('CompilationCalcs - Di et al.EOL'!$C48,PlasticsUse!$B$26:$L$26,0)),0)</f>
        <v>0</v>
      </c>
    </row>
    <row r="49" spans="1:8" x14ac:dyDescent="0.2">
      <c r="A49" t="s">
        <v>127</v>
      </c>
      <c r="B49" t="s">
        <v>206</v>
      </c>
      <c r="C49" t="s">
        <v>86</v>
      </c>
      <c r="D49" s="11">
        <f>INDEX(PlasticsUse!$B$48:$L$64,MATCH('CompilationCalcs - Di et al.EOL'!$A49,PlasticsUse!$A$48:$A$64,0),MATCH('CompilationCalcs - Di et al.EOL'!$C49,PlasticsUse!$B$47:$L$47,0))</f>
        <v>2.26796</v>
      </c>
      <c r="E49" s="11" t="str">
        <f>IF('CompilationCalcs - Di et al.EOL'!C49=PlasticsUse!$D$93,Conversions!$A$17,IF('CompilationCalcs - Di et al.EOL'!C49=PlasticsUse!$L$93,Conversions!$A$18,Conversions!$A$16))</f>
        <v>Transfer Station</v>
      </c>
      <c r="F49" s="11">
        <f>INDEX('In-Use Stocks'!$M$81:$V$97,MATCH('CompilationCalcs - Di et al.EOL'!$A49,'In-Use Stocks'!$L$81:$L$97,0),MATCH('CompilationCalcs - Di et al.EOL'!$C49,'In-Use Stocks'!$M$80:$V$80,0))</f>
        <v>1.9004609605610838</v>
      </c>
      <c r="G49" t="s">
        <v>191</v>
      </c>
      <c r="H49" s="11">
        <f>IFERROR(INDEX(EndOfLife!$L$64:$P$78,MATCH($A49,EndOfLife!$A$64:$A$78,0),MATCH($G49,EndOfLife!$L$63:$P$63,0))*INDEX(PlasticsUse!$B$27:$L$41,MATCH('CompilationCalcs - Di et al.EOL'!$A49,PlasticsUse!$A$27:$A$41,0),MATCH('CompilationCalcs - Di et al.EOL'!$C49,PlasticsUse!$B$26:$L$26,0)),0)</f>
        <v>0.31504780184305953</v>
      </c>
    </row>
    <row r="50" spans="1:8" x14ac:dyDescent="0.2">
      <c r="A50" t="s">
        <v>127</v>
      </c>
      <c r="B50" t="s">
        <v>206</v>
      </c>
      <c r="C50" t="s">
        <v>18</v>
      </c>
      <c r="D50" s="11">
        <f>INDEX(PlasticsUse!$B$48:$L$64,MATCH('CompilationCalcs - Di et al.EOL'!$A50,PlasticsUse!$A$48:$A$64,0),MATCH('CompilationCalcs - Di et al.EOL'!$C50,PlasticsUse!$B$47:$L$47,0))</f>
        <v>0</v>
      </c>
      <c r="E50" s="11" t="str">
        <f>IF('CompilationCalcs - Di et al.EOL'!C50=PlasticsUse!$D$93,Conversions!$A$17,IF('CompilationCalcs - Di et al.EOL'!C50=PlasticsUse!$L$93,Conversions!$A$18,Conversions!$A$16))</f>
        <v>N/A</v>
      </c>
      <c r="F50" s="11">
        <f>INDEX(EndOfLife!$J$64:$J$80,MATCH('CompilationCalcs - Di et al.EOL'!$A50,EndOfLife!$A$64:$A$80,0),1)*INDEX(PlasticsUse!$B$27:$L$43,MATCH('CompilationCalcs - Di et al.EOL'!$A50,PlasticsUse!$A$27:$A$43,0),MATCH('CompilationCalcs - Di et al.EOL'!$C50,PlasticsUse!$B$26:$L$26,0))</f>
        <v>0</v>
      </c>
      <c r="G50" t="s">
        <v>287</v>
      </c>
      <c r="H50" s="11">
        <f>IFERROR(INDEX(EndOfLife!$L$64:$P$78,MATCH($A50,EndOfLife!$A$64:$A$78,0),MATCH($G50,EndOfLife!$L$63:$P$63,0))*INDEX(PlasticsUse!$B$27:$L$41,MATCH('CompilationCalcs - Di et al.EOL'!$A50,PlasticsUse!$A$27:$A$41,0),MATCH('CompilationCalcs - Di et al.EOL'!$C50,PlasticsUse!$B$26:$L$26,0)),0)</f>
        <v>0</v>
      </c>
    </row>
    <row r="51" spans="1:8" x14ac:dyDescent="0.2">
      <c r="A51" t="s">
        <v>127</v>
      </c>
      <c r="B51" t="s">
        <v>207</v>
      </c>
      <c r="C51" t="s">
        <v>38</v>
      </c>
      <c r="D51" s="11"/>
      <c r="E51" s="11" t="str">
        <f>IF('CompilationCalcs - Di et al.EOL'!C51=PlasticsUse!$D$93,Conversions!$A$17,IF('CompilationCalcs - Di et al.EOL'!C51=PlasticsUse!$L$93,Conversions!$A$18,Conversions!$A$16))</f>
        <v>Transfer Station</v>
      </c>
      <c r="F51" s="11">
        <f t="shared" si="0"/>
        <v>0</v>
      </c>
      <c r="G51" t="s">
        <v>5</v>
      </c>
      <c r="H51" s="11">
        <f>IFERROR(INDEX(EndOfLife!$L$64:$P$78,MATCH($A51,EndOfLife!$A$64:$A$78,0),MATCH($G51,EndOfLife!$L$63:$P$63,0))*INDEX(PlasticsUse!$B$27:$L$41,MATCH('CompilationCalcs - Di et al.EOL'!$A51,PlasticsUse!$A$27:$A$41,0),MATCH('CompilationCalcs - Di et al.EOL'!$C51,PlasticsUse!$B$26:$L$26,0)),0)</f>
        <v>0</v>
      </c>
    </row>
    <row r="52" spans="1:8" x14ac:dyDescent="0.2">
      <c r="A52" t="s">
        <v>127</v>
      </c>
      <c r="B52" t="s">
        <v>207</v>
      </c>
      <c r="C52" t="s">
        <v>99</v>
      </c>
      <c r="D52" s="11"/>
      <c r="E52" s="11" t="str">
        <f>IF('CompilationCalcs - Di et al.EOL'!C52=PlasticsUse!$D$93,Conversions!$A$17,IF('CompilationCalcs - Di et al.EOL'!C52=PlasticsUse!$L$93,Conversions!$A$18,Conversions!$A$16))</f>
        <v>Transfer Station</v>
      </c>
      <c r="F52" s="11">
        <f t="shared" si="0"/>
        <v>0</v>
      </c>
      <c r="G52" t="s">
        <v>5</v>
      </c>
      <c r="H52" s="11">
        <f>IFERROR(INDEX(EndOfLife!$L$64:$P$78,MATCH($A52,EndOfLife!$A$64:$A$78,0),MATCH($G52,EndOfLife!$L$63:$P$63,0))*INDEX(PlasticsUse!$B$27:$L$41,MATCH('CompilationCalcs - Di et al.EOL'!$A52,PlasticsUse!$A$27:$A$41,0),MATCH('CompilationCalcs - Di et al.EOL'!$C52,PlasticsUse!$B$26:$L$26,0)),0)</f>
        <v>0</v>
      </c>
    </row>
    <row r="53" spans="1:8" x14ac:dyDescent="0.2">
      <c r="A53" t="s">
        <v>127</v>
      </c>
      <c r="B53" t="s">
        <v>207</v>
      </c>
      <c r="C53" t="s">
        <v>69</v>
      </c>
      <c r="D53" s="11"/>
      <c r="E53" s="11" t="str">
        <f>IF('CompilationCalcs - Di et al.EOL'!C53=PlasticsUse!$D$93,Conversions!$A$17,IF('CompilationCalcs - Di et al.EOL'!C53=PlasticsUse!$L$93,Conversions!$A$18,Conversions!$A$16))</f>
        <v>Automotive Shredding Facility</v>
      </c>
      <c r="F53" s="11">
        <f t="shared" si="0"/>
        <v>0</v>
      </c>
      <c r="G53" t="s">
        <v>5</v>
      </c>
      <c r="H53" s="11">
        <f>IFERROR(INDEX(EndOfLife!$L$64:$P$78,MATCH($A53,EndOfLife!$A$64:$A$78,0),MATCH($G53,EndOfLife!$L$63:$P$63,0))*INDEX(PlasticsUse!$B$27:$L$41,MATCH('CompilationCalcs - Di et al.EOL'!$A53,PlasticsUse!$A$27:$A$41,0),MATCH('CompilationCalcs - Di et al.EOL'!$C53,PlasticsUse!$B$26:$L$26,0)),0)</f>
        <v>0</v>
      </c>
    </row>
    <row r="54" spans="1:8" x14ac:dyDescent="0.2">
      <c r="A54" t="s">
        <v>127</v>
      </c>
      <c r="B54" t="s">
        <v>207</v>
      </c>
      <c r="C54" t="s">
        <v>100</v>
      </c>
      <c r="D54" s="11"/>
      <c r="E54" s="11" t="str">
        <f>IF('CompilationCalcs - Di et al.EOL'!C54=PlasticsUse!$D$93,Conversions!$A$17,IF('CompilationCalcs - Di et al.EOL'!C54=PlasticsUse!$L$93,Conversions!$A$18,Conversions!$A$16))</f>
        <v>Transfer Station</v>
      </c>
      <c r="F54" s="11">
        <f t="shared" si="0"/>
        <v>0</v>
      </c>
      <c r="G54" t="s">
        <v>5</v>
      </c>
      <c r="H54" s="11">
        <f>IFERROR(INDEX(EndOfLife!$L$64:$P$78,MATCH($A54,EndOfLife!$A$64:$A$78,0),MATCH($G54,EndOfLife!$L$63:$P$63,0))*INDEX(PlasticsUse!$B$27:$L$41,MATCH('CompilationCalcs - Di et al.EOL'!$A54,PlasticsUse!$A$27:$A$41,0),MATCH('CompilationCalcs - Di et al.EOL'!$C54,PlasticsUse!$B$26:$L$26,0)),0)</f>
        <v>0</v>
      </c>
    </row>
    <row r="55" spans="1:8" x14ac:dyDescent="0.2">
      <c r="A55" t="s">
        <v>127</v>
      </c>
      <c r="B55" t="s">
        <v>207</v>
      </c>
      <c r="C55" t="s">
        <v>39</v>
      </c>
      <c r="D55" s="11"/>
      <c r="E55" s="11" t="str">
        <f>IF('CompilationCalcs - Di et al.EOL'!C55=PlasticsUse!$D$93,Conversions!$A$17,IF('CompilationCalcs - Di et al.EOL'!C55=PlasticsUse!$L$93,Conversions!$A$18,Conversions!$A$16))</f>
        <v>Transfer Station</v>
      </c>
      <c r="F55" s="11">
        <f t="shared" si="0"/>
        <v>0</v>
      </c>
      <c r="G55" t="s">
        <v>5</v>
      </c>
      <c r="H55" s="11">
        <f>IFERROR(INDEX(EndOfLife!$L$64:$P$78,MATCH($A55,EndOfLife!$A$64:$A$78,0),MATCH($G55,EndOfLife!$L$63:$P$63,0))*INDEX(PlasticsUse!$B$27:$L$41,MATCH('CompilationCalcs - Di et al.EOL'!$A55,PlasticsUse!$A$27:$A$41,0),MATCH('CompilationCalcs - Di et al.EOL'!$C55,PlasticsUse!$B$26:$L$26,0)),0)</f>
        <v>0</v>
      </c>
    </row>
    <row r="56" spans="1:8" x14ac:dyDescent="0.2">
      <c r="A56" t="s">
        <v>127</v>
      </c>
      <c r="B56" t="s">
        <v>207</v>
      </c>
      <c r="C56" t="s">
        <v>63</v>
      </c>
      <c r="D56" s="11"/>
      <c r="E56" s="11" t="str">
        <f>IF('CompilationCalcs - Di et al.EOL'!C56=PlasticsUse!$D$93,Conversions!$A$17,IF('CompilationCalcs - Di et al.EOL'!C56=PlasticsUse!$L$93,Conversions!$A$18,Conversions!$A$16))</f>
        <v>Transfer Station</v>
      </c>
      <c r="F56" s="11">
        <f t="shared" si="0"/>
        <v>0</v>
      </c>
      <c r="G56" t="s">
        <v>5</v>
      </c>
      <c r="H56" s="11">
        <f>IFERROR(INDEX(EndOfLife!$L$64:$P$78,MATCH($A56,EndOfLife!$A$64:$A$78,0),MATCH($G56,EndOfLife!$L$63:$P$63,0))*INDEX(PlasticsUse!$B$27:$L$41,MATCH('CompilationCalcs - Di et al.EOL'!$A56,PlasticsUse!$A$27:$A$41,0),MATCH('CompilationCalcs - Di et al.EOL'!$C56,PlasticsUse!$B$26:$L$26,0)),0)</f>
        <v>0</v>
      </c>
    </row>
    <row r="57" spans="1:8" x14ac:dyDescent="0.2">
      <c r="A57" t="s">
        <v>127</v>
      </c>
      <c r="B57" t="s">
        <v>207</v>
      </c>
      <c r="C57" t="s">
        <v>92</v>
      </c>
      <c r="D57" s="11"/>
      <c r="E57" s="11" t="str">
        <f>IF('CompilationCalcs - Di et al.EOL'!C57=PlasticsUse!$D$93,Conversions!$A$17,IF('CompilationCalcs - Di et al.EOL'!C57=PlasticsUse!$L$93,Conversions!$A$18,Conversions!$A$16))</f>
        <v>Transfer Station</v>
      </c>
      <c r="F57" s="11">
        <f t="shared" si="0"/>
        <v>0</v>
      </c>
      <c r="G57" t="s">
        <v>5</v>
      </c>
      <c r="H57" s="11">
        <f>IFERROR(INDEX(EndOfLife!$L$64:$P$78,MATCH($A57,EndOfLife!$A$64:$A$78,0),MATCH($G57,EndOfLife!$L$63:$P$63,0))*INDEX(PlasticsUse!$B$27:$L$41,MATCH('CompilationCalcs - Di et al.EOL'!$A57,PlasticsUse!$A$27:$A$41,0),MATCH('CompilationCalcs - Di et al.EOL'!$C57,PlasticsUse!$B$26:$L$26,0)),0)</f>
        <v>0</v>
      </c>
    </row>
    <row r="58" spans="1:8" x14ac:dyDescent="0.2">
      <c r="A58" t="s">
        <v>127</v>
      </c>
      <c r="B58" t="s">
        <v>207</v>
      </c>
      <c r="C58" t="s">
        <v>103</v>
      </c>
      <c r="D58" s="11"/>
      <c r="E58" s="11" t="str">
        <f>IF('CompilationCalcs - Di et al.EOL'!C58=PlasticsUse!$D$93,Conversions!$A$17,IF('CompilationCalcs - Di et al.EOL'!C58=PlasticsUse!$L$93,Conversions!$A$18,Conversions!$A$16))</f>
        <v>Transfer Station</v>
      </c>
      <c r="F58" s="11">
        <f t="shared" si="0"/>
        <v>0</v>
      </c>
      <c r="G58" t="s">
        <v>5</v>
      </c>
      <c r="H58" s="11">
        <f>IFERROR(INDEX(EndOfLife!$L$64:$P$78,MATCH($A58,EndOfLife!$A$64:$A$78,0),MATCH($G58,EndOfLife!$L$63:$P$63,0))*INDEX(PlasticsUse!$B$27:$L$41,MATCH('CompilationCalcs - Di et al.EOL'!$A58,PlasticsUse!$A$27:$A$41,0),MATCH('CompilationCalcs - Di et al.EOL'!$C58,PlasticsUse!$B$26:$L$26,0)),0)</f>
        <v>0</v>
      </c>
    </row>
    <row r="59" spans="1:8" x14ac:dyDescent="0.2">
      <c r="A59" t="s">
        <v>127</v>
      </c>
      <c r="B59" t="s">
        <v>207</v>
      </c>
      <c r="C59" t="s">
        <v>86</v>
      </c>
      <c r="D59" s="11"/>
      <c r="E59" s="11" t="str">
        <f>IF('CompilationCalcs - Di et al.EOL'!C59=PlasticsUse!$D$93,Conversions!$A$17,IF('CompilationCalcs - Di et al.EOL'!C59=PlasticsUse!$L$93,Conversions!$A$18,Conversions!$A$16))</f>
        <v>Transfer Station</v>
      </c>
      <c r="F59" s="11">
        <f t="shared" si="0"/>
        <v>0</v>
      </c>
      <c r="G59" t="s">
        <v>5</v>
      </c>
      <c r="H59" s="11">
        <f>IFERROR(INDEX(EndOfLife!$L$64:$P$78,MATCH($A59,EndOfLife!$A$64:$A$78,0),MATCH($G59,EndOfLife!$L$63:$P$63,0))*INDEX(PlasticsUse!$B$27:$L$41,MATCH('CompilationCalcs - Di et al.EOL'!$A59,PlasticsUse!$A$27:$A$41,0),MATCH('CompilationCalcs - Di et al.EOL'!$C59,PlasticsUse!$B$26:$L$26,0)),0)</f>
        <v>0.15962889737036981</v>
      </c>
    </row>
    <row r="60" spans="1:8" x14ac:dyDescent="0.2">
      <c r="A60" t="s">
        <v>127</v>
      </c>
      <c r="B60" t="s">
        <v>207</v>
      </c>
      <c r="C60" t="s">
        <v>18</v>
      </c>
      <c r="D60" s="11"/>
      <c r="E60" s="11" t="str">
        <f>IF('CompilationCalcs - Di et al.EOL'!C60=PlasticsUse!$D$93,Conversions!$A$17,IF('CompilationCalcs - Di et al.EOL'!C60=PlasticsUse!$L$93,Conversions!$A$18,Conversions!$A$16))</f>
        <v>N/A</v>
      </c>
      <c r="F60" s="11">
        <f t="shared" si="0"/>
        <v>0</v>
      </c>
      <c r="G60" t="s">
        <v>287</v>
      </c>
      <c r="H60" s="11">
        <f>IFERROR(INDEX(EndOfLife!$L$64:$P$78,MATCH($A60,EndOfLife!$A$64:$A$78,0),MATCH($G60,EndOfLife!$L$63:$P$63,0))*INDEX(PlasticsUse!$B$27:$L$41,MATCH('CompilationCalcs - Di et al.EOL'!$A60,PlasticsUse!$A$27:$A$41,0),MATCH('CompilationCalcs - Di et al.EOL'!$C60,PlasticsUse!$B$26:$L$26,0)),0)</f>
        <v>0</v>
      </c>
    </row>
    <row r="61" spans="1:8" x14ac:dyDescent="0.2">
      <c r="A61" t="s">
        <v>127</v>
      </c>
      <c r="B61" t="s">
        <v>207</v>
      </c>
      <c r="C61" t="s">
        <v>99</v>
      </c>
      <c r="D61" s="11"/>
      <c r="E61" s="11" t="str">
        <f>IF('CompilationCalcs - Di et al.EOL'!C61=PlasticsUse!$D$93,Conversions!$A$17,IF('CompilationCalcs - Di et al.EOL'!C61=PlasticsUse!$L$93,Conversions!$A$18,Conversions!$A$16))</f>
        <v>Transfer Station</v>
      </c>
      <c r="F61" s="11">
        <f t="shared" si="0"/>
        <v>0</v>
      </c>
      <c r="G61" t="s">
        <v>6</v>
      </c>
      <c r="H61" s="11">
        <f>IFERROR(INDEX(EndOfLife!$L$64:$P$78,MATCH($A61,EndOfLife!$A$64:$A$78,0),MATCH($G61,EndOfLife!$L$63:$P$63,0))*INDEX(PlasticsUse!$B$27:$L$41,MATCH('CompilationCalcs - Di et al.EOL'!$A61,PlasticsUse!$A$27:$A$41,0),MATCH('CompilationCalcs - Di et al.EOL'!$C61,PlasticsUse!$B$26:$L$26,0)),0)</f>
        <v>0</v>
      </c>
    </row>
    <row r="62" spans="1:8" x14ac:dyDescent="0.2">
      <c r="A62" t="s">
        <v>127</v>
      </c>
      <c r="B62" t="s">
        <v>207</v>
      </c>
      <c r="C62" t="s">
        <v>69</v>
      </c>
      <c r="D62" s="11"/>
      <c r="E62" s="11" t="str">
        <f>IF('CompilationCalcs - Di et al.EOL'!C62=PlasticsUse!$D$93,Conversions!$A$17,IF('CompilationCalcs - Di et al.EOL'!C62=PlasticsUse!$L$93,Conversions!$A$18,Conversions!$A$16))</f>
        <v>Automotive Shredding Facility</v>
      </c>
      <c r="F62" s="11">
        <f t="shared" si="0"/>
        <v>0</v>
      </c>
      <c r="G62" t="s">
        <v>6</v>
      </c>
      <c r="H62" s="11">
        <f>IFERROR(INDEX(EndOfLife!$L$64:$P$78,MATCH($A62,EndOfLife!$A$64:$A$78,0),MATCH($G62,EndOfLife!$L$63:$P$63,0))*INDEX(PlasticsUse!$B$27:$L$41,MATCH('CompilationCalcs - Di et al.EOL'!$A62,PlasticsUse!$A$27:$A$41,0),MATCH('CompilationCalcs - Di et al.EOL'!$C62,PlasticsUse!$B$26:$L$26,0)),0)</f>
        <v>0</v>
      </c>
    </row>
    <row r="63" spans="1:8" x14ac:dyDescent="0.2">
      <c r="A63" t="s">
        <v>127</v>
      </c>
      <c r="B63" t="s">
        <v>207</v>
      </c>
      <c r="C63" t="s">
        <v>100</v>
      </c>
      <c r="D63" s="11"/>
      <c r="E63" s="11" t="str">
        <f>IF('CompilationCalcs - Di et al.EOL'!C63=PlasticsUse!$D$93,Conversions!$A$17,IF('CompilationCalcs - Di et al.EOL'!C63=PlasticsUse!$L$93,Conversions!$A$18,Conversions!$A$16))</f>
        <v>Transfer Station</v>
      </c>
      <c r="F63" s="11">
        <f t="shared" si="0"/>
        <v>0</v>
      </c>
      <c r="G63" t="s">
        <v>6</v>
      </c>
      <c r="H63" s="11">
        <f>IFERROR(INDEX(EndOfLife!$L$64:$P$78,MATCH($A63,EndOfLife!$A$64:$A$78,0),MATCH($G63,EndOfLife!$L$63:$P$63,0))*INDEX(PlasticsUse!$B$27:$L$41,MATCH('CompilationCalcs - Di et al.EOL'!$A63,PlasticsUse!$A$27:$A$41,0),MATCH('CompilationCalcs - Di et al.EOL'!$C63,PlasticsUse!$B$26:$L$26,0)),0)</f>
        <v>0</v>
      </c>
    </row>
    <row r="64" spans="1:8" x14ac:dyDescent="0.2">
      <c r="A64" t="s">
        <v>127</v>
      </c>
      <c r="B64" t="s">
        <v>207</v>
      </c>
      <c r="C64" t="s">
        <v>39</v>
      </c>
      <c r="D64" s="11"/>
      <c r="E64" s="11" t="str">
        <f>IF('CompilationCalcs - Di et al.EOL'!C64=PlasticsUse!$D$93,Conversions!$A$17,IF('CompilationCalcs - Di et al.EOL'!C64=PlasticsUse!$L$93,Conversions!$A$18,Conversions!$A$16))</f>
        <v>Transfer Station</v>
      </c>
      <c r="F64" s="11">
        <f t="shared" si="0"/>
        <v>0</v>
      </c>
      <c r="G64" t="s">
        <v>6</v>
      </c>
      <c r="H64" s="11">
        <f>IFERROR(INDEX(EndOfLife!$L$64:$P$78,MATCH($A64,EndOfLife!$A$64:$A$78,0),MATCH($G64,EndOfLife!$L$63:$P$63,0))*INDEX(PlasticsUse!$B$27:$L$41,MATCH('CompilationCalcs - Di et al.EOL'!$A64,PlasticsUse!$A$27:$A$41,0),MATCH('CompilationCalcs - Di et al.EOL'!$C64,PlasticsUse!$B$26:$L$26,0)),0)</f>
        <v>0</v>
      </c>
    </row>
    <row r="65" spans="1:8" x14ac:dyDescent="0.2">
      <c r="A65" t="s">
        <v>127</v>
      </c>
      <c r="B65" t="s">
        <v>207</v>
      </c>
      <c r="C65" t="s">
        <v>68</v>
      </c>
      <c r="D65" s="11"/>
      <c r="E65" s="11" t="str">
        <f>IF('CompilationCalcs - Di et al.EOL'!C65=PlasticsUse!$D$93,Conversions!$A$17,IF('CompilationCalcs - Di et al.EOL'!C65=PlasticsUse!$L$93,Conversions!$A$18,Conversions!$A$16))</f>
        <v>Transfer Station</v>
      </c>
      <c r="F65" s="11">
        <f t="shared" si="0"/>
        <v>0</v>
      </c>
      <c r="G65" t="s">
        <v>6</v>
      </c>
      <c r="H65" s="11">
        <f>IFERROR(INDEX(EndOfLife!$L$64:$P$78,MATCH($A65,EndOfLife!$A$64:$A$78,0),MATCH($G65,EndOfLife!$L$63:$P$63,0))*INDEX(PlasticsUse!$B$27:$L$41,MATCH('CompilationCalcs - Di et al.EOL'!$A65,PlasticsUse!$A$27:$A$41,0),MATCH('CompilationCalcs - Di et al.EOL'!$C65,PlasticsUse!$B$26:$L$26,0)),0)</f>
        <v>0</v>
      </c>
    </row>
    <row r="66" spans="1:8" x14ac:dyDescent="0.2">
      <c r="A66" t="s">
        <v>127</v>
      </c>
      <c r="B66" t="s">
        <v>207</v>
      </c>
      <c r="C66" t="s">
        <v>63</v>
      </c>
      <c r="D66" s="11"/>
      <c r="E66" s="11" t="str">
        <f>IF('CompilationCalcs - Di et al.EOL'!C66=PlasticsUse!$D$93,Conversions!$A$17,IF('CompilationCalcs - Di et al.EOL'!C66=PlasticsUse!$L$93,Conversions!$A$18,Conversions!$A$16))</f>
        <v>Transfer Station</v>
      </c>
      <c r="F66" s="11">
        <f t="shared" si="0"/>
        <v>0</v>
      </c>
      <c r="G66" t="s">
        <v>6</v>
      </c>
      <c r="H66" s="11">
        <f>IFERROR(INDEX(EndOfLife!$L$64:$P$78,MATCH($A66,EndOfLife!$A$64:$A$78,0),MATCH($G66,EndOfLife!$L$63:$P$63,0))*INDEX(PlasticsUse!$B$27:$L$41,MATCH('CompilationCalcs - Di et al.EOL'!$A66,PlasticsUse!$A$27:$A$41,0),MATCH('CompilationCalcs - Di et al.EOL'!$C66,PlasticsUse!$B$26:$L$26,0)),0)</f>
        <v>0</v>
      </c>
    </row>
    <row r="67" spans="1:8" x14ac:dyDescent="0.2">
      <c r="A67" t="s">
        <v>127</v>
      </c>
      <c r="B67" t="s">
        <v>207</v>
      </c>
      <c r="C67" t="s">
        <v>92</v>
      </c>
      <c r="D67" s="11"/>
      <c r="E67" s="11" t="str">
        <f>IF('CompilationCalcs - Di et al.EOL'!C67=PlasticsUse!$D$93,Conversions!$A$17,IF('CompilationCalcs - Di et al.EOL'!C67=PlasticsUse!$L$93,Conversions!$A$18,Conversions!$A$16))</f>
        <v>Transfer Station</v>
      </c>
      <c r="F67" s="11">
        <f t="shared" si="0"/>
        <v>0</v>
      </c>
      <c r="G67" t="s">
        <v>6</v>
      </c>
      <c r="H67" s="11">
        <f>IFERROR(INDEX(EndOfLife!$L$64:$P$78,MATCH($A67,EndOfLife!$A$64:$A$78,0),MATCH($G67,EndOfLife!$L$63:$P$63,0))*INDEX(PlasticsUse!$B$27:$L$41,MATCH('CompilationCalcs - Di et al.EOL'!$A67,PlasticsUse!$A$27:$A$41,0),MATCH('CompilationCalcs - Di et al.EOL'!$C67,PlasticsUse!$B$26:$L$26,0)),0)</f>
        <v>0</v>
      </c>
    </row>
    <row r="68" spans="1:8" x14ac:dyDescent="0.2">
      <c r="A68" t="s">
        <v>127</v>
      </c>
      <c r="B68" t="s">
        <v>207</v>
      </c>
      <c r="C68" t="s">
        <v>103</v>
      </c>
      <c r="D68" s="11"/>
      <c r="E68" s="11" t="str">
        <f>IF('CompilationCalcs - Di et al.EOL'!C68=PlasticsUse!$D$93,Conversions!$A$17,IF('CompilationCalcs - Di et al.EOL'!C68=PlasticsUse!$L$93,Conversions!$A$18,Conversions!$A$16))</f>
        <v>Transfer Station</v>
      </c>
      <c r="F68" s="11">
        <f t="shared" si="0"/>
        <v>0</v>
      </c>
      <c r="G68" t="s">
        <v>6</v>
      </c>
      <c r="H68" s="11">
        <f>IFERROR(INDEX(EndOfLife!$L$64:$P$78,MATCH($A68,EndOfLife!$A$64:$A$78,0),MATCH($G68,EndOfLife!$L$63:$P$63,0))*INDEX(PlasticsUse!$B$27:$L$41,MATCH('CompilationCalcs - Di et al.EOL'!$A68,PlasticsUse!$A$27:$A$41,0),MATCH('CompilationCalcs - Di et al.EOL'!$C68,PlasticsUse!$B$26:$L$26,0)),0)</f>
        <v>0</v>
      </c>
    </row>
    <row r="69" spans="1:8" x14ac:dyDescent="0.2">
      <c r="A69" t="s">
        <v>127</v>
      </c>
      <c r="B69" t="s">
        <v>207</v>
      </c>
      <c r="C69" t="s">
        <v>86</v>
      </c>
      <c r="D69" s="11"/>
      <c r="E69" s="11" t="str">
        <f>IF('CompilationCalcs - Di et al.EOL'!C69=PlasticsUse!$D$93,Conversions!$A$17,IF('CompilationCalcs - Di et al.EOL'!C69=PlasticsUse!$L$93,Conversions!$A$18,Conversions!$A$16))</f>
        <v>Transfer Station</v>
      </c>
      <c r="F69" s="11">
        <f t="shared" ref="F69:F142" si="1">D69</f>
        <v>0</v>
      </c>
      <c r="G69" t="s">
        <v>6</v>
      </c>
      <c r="H69" s="11">
        <f>IFERROR(INDEX(EndOfLife!$L$64:$P$78,MATCH($A69,EndOfLife!$A$64:$A$78,0),MATCH($G69,EndOfLife!$L$63:$P$63,0))*INDEX(PlasticsUse!$B$27:$L$41,MATCH('CompilationCalcs - Di et al.EOL'!$A69,PlasticsUse!$A$27:$A$41,0),MATCH('CompilationCalcs - Di et al.EOL'!$C69,PlasticsUse!$B$26:$L$26,0)),0)</f>
        <v>1.4257842613476546</v>
      </c>
    </row>
    <row r="70" spans="1:8" x14ac:dyDescent="0.2">
      <c r="A70" t="s">
        <v>127</v>
      </c>
      <c r="B70" t="s">
        <v>207</v>
      </c>
      <c r="C70" t="s">
        <v>18</v>
      </c>
      <c r="D70" s="11"/>
      <c r="E70" s="11" t="str">
        <f>IF('CompilationCalcs - Di et al.EOL'!C70=PlasticsUse!$D$93,Conversions!$A$17,IF('CompilationCalcs - Di et al.EOL'!C70=PlasticsUse!$L$93,Conversions!$A$18,Conversions!$A$16))</f>
        <v>N/A</v>
      </c>
      <c r="F70" s="11">
        <f t="shared" si="1"/>
        <v>0</v>
      </c>
      <c r="G70" t="s">
        <v>287</v>
      </c>
      <c r="H70" s="11">
        <f>IFERROR(INDEX(EndOfLife!$L$64:$P$78,MATCH($A70,EndOfLife!$A$64:$A$78,0),MATCH($G70,EndOfLife!$L$63:$P$63,0))*INDEX(PlasticsUse!$B$27:$L$41,MATCH('CompilationCalcs - Di et al.EOL'!$A70,PlasticsUse!$A$27:$A$41,0),MATCH('CompilationCalcs - Di et al.EOL'!$C70,PlasticsUse!$B$26:$L$26,0)),0)</f>
        <v>0</v>
      </c>
    </row>
    <row r="71" spans="1:8" ht="17" x14ac:dyDescent="0.2">
      <c r="A71" t="s">
        <v>127</v>
      </c>
      <c r="B71" t="s">
        <v>207</v>
      </c>
      <c r="E71" s="11" t="s">
        <v>191</v>
      </c>
      <c r="F71" s="11">
        <f t="shared" si="1"/>
        <v>0</v>
      </c>
      <c r="G71" s="28" t="s">
        <v>360</v>
      </c>
      <c r="H71" s="11">
        <f>INDEX(EndOfLife!$T$64:$X$78,MATCH('CompilationCalcs - Di et al.EOL'!$A71,EndOfLife!$S$64:$S$78,0),MATCH('CompilationCalcs - Di et al.EOL'!$G71,EndOfLife!$T$63:$X$63,0))</f>
        <v>0.13628684864371868</v>
      </c>
    </row>
    <row r="72" spans="1:8" ht="17" x14ac:dyDescent="0.2">
      <c r="A72" t="s">
        <v>127</v>
      </c>
      <c r="B72" t="s">
        <v>207</v>
      </c>
      <c r="E72" s="11" t="s">
        <v>191</v>
      </c>
      <c r="F72" s="11">
        <f t="shared" si="1"/>
        <v>0</v>
      </c>
      <c r="G72" s="28" t="s">
        <v>361</v>
      </c>
      <c r="H72" s="11">
        <f>INDEX(EndOfLife!$T$64:$X$78,MATCH('CompilationCalcs - Di et al.EOL'!$A72,EndOfLife!$S$64:$S$78,0),MATCH('CompilationCalcs - Di et al.EOL'!$G72,EndOfLife!$T$63:$X$63,0))</f>
        <v>7.3086310541341917E-2</v>
      </c>
    </row>
    <row r="73" spans="1:8" ht="17" x14ac:dyDescent="0.2">
      <c r="A73" t="s">
        <v>127</v>
      </c>
      <c r="B73" t="s">
        <v>207</v>
      </c>
      <c r="E73" s="11" t="s">
        <v>360</v>
      </c>
      <c r="F73" s="11">
        <f t="shared" si="1"/>
        <v>0</v>
      </c>
      <c r="G73" s="28" t="s">
        <v>192</v>
      </c>
      <c r="H73" s="11">
        <f>INDEX(EndOfLife!$T$64:$X$78,MATCH('CompilationCalcs - Di et al.EOL'!$A73,EndOfLife!$S$64:$S$78,0),MATCH('CompilationCalcs - Di et al.EOL'!$G73,EndOfLife!$T$63:$X$63,0))</f>
        <v>0.13628684864371868</v>
      </c>
    </row>
    <row r="74" spans="1:8" ht="17" x14ac:dyDescent="0.2">
      <c r="A74" t="s">
        <v>127</v>
      </c>
      <c r="B74" t="s">
        <v>207</v>
      </c>
      <c r="E74" s="11" t="s">
        <v>191</v>
      </c>
      <c r="F74" s="11">
        <f t="shared" si="1"/>
        <v>0</v>
      </c>
      <c r="G74" s="28" t="s">
        <v>193</v>
      </c>
      <c r="H74" s="11">
        <f>INDEX(EndOfLife!$T$64:$X$78,MATCH('CompilationCalcs - Di et al.EOL'!$A74,EndOfLife!$S$64:$S$78,0),MATCH('CompilationCalcs - Di et al.EOL'!$G74,EndOfLife!$T$63:$X$63,0))</f>
        <v>0.10567464265799893</v>
      </c>
    </row>
    <row r="75" spans="1:8" x14ac:dyDescent="0.2">
      <c r="A75" t="s">
        <v>8</v>
      </c>
      <c r="B75" t="s">
        <v>206</v>
      </c>
      <c r="C75" t="s">
        <v>38</v>
      </c>
      <c r="D75" s="11">
        <f>INDEX(PlasticsUse!$B$48:$L$64,MATCH('CompilationCalcs - Di et al.EOL'!$A75,PlasticsUse!$A$48:$A$64,0),MATCH('CompilationCalcs - Di et al.EOL'!$C75,PlasticsUse!$B$47:$L$47,0))</f>
        <v>0.20617443319212375</v>
      </c>
      <c r="E75" s="11" t="str">
        <f>IF('CompilationCalcs - Di et al.EOL'!C75=PlasticsUse!$D$93,Conversions!$A$17,IF('CompilationCalcs - Di et al.EOL'!C75=PlasticsUse!$L$93,Conversions!$A$18,Conversions!$A$16))</f>
        <v>Transfer Station</v>
      </c>
      <c r="F75" s="11">
        <f>INDEX('In-Use Stocks'!$M$81:$V$97,MATCH('CompilationCalcs - Di et al.EOL'!$A75,'In-Use Stocks'!$L$81:$L$97,0),MATCH('CompilationCalcs - Di et al.EOL'!$C75,'In-Use Stocks'!$M$80:$V$80,0))</f>
        <v>9.3451412386754112E-2</v>
      </c>
      <c r="G75" t="s">
        <v>191</v>
      </c>
      <c r="H75" s="11">
        <f>IFERROR(INDEX(EndOfLife!$L$64:$P$78,MATCH($A75,EndOfLife!$A$64:$A$78,0),MATCH($G75,EndOfLife!$L$63:$P$63,0))*INDEX(PlasticsUse!$B$27:$L$41,MATCH('CompilationCalcs - Di et al.EOL'!$A75,PlasticsUse!$A$27:$A$41,0),MATCH('CompilationCalcs - Di et al.EOL'!$C75,PlasticsUse!$B$26:$L$26,0)),0)</f>
        <v>0</v>
      </c>
    </row>
    <row r="76" spans="1:8" x14ac:dyDescent="0.2">
      <c r="A76" t="s">
        <v>8</v>
      </c>
      <c r="B76" t="s">
        <v>206</v>
      </c>
      <c r="C76" t="s">
        <v>99</v>
      </c>
      <c r="D76" s="11">
        <f>INDEX(PlasticsUse!$B$48:$L$64,MATCH('CompilationCalcs - Di et al.EOL'!$A76,PlasticsUse!$A$48:$A$64,0),MATCH('CompilationCalcs - Di et al.EOL'!$C76,PlasticsUse!$B$47:$L$47,0))</f>
        <v>0.20617443319212375</v>
      </c>
      <c r="E76" s="11" t="str">
        <f>IF('CompilationCalcs - Di et al.EOL'!C76=PlasticsUse!$D$93,Conversions!$A$17,IF('CompilationCalcs - Di et al.EOL'!C76=PlasticsUse!$L$93,Conversions!$A$18,Conversions!$A$16))</f>
        <v>Transfer Station</v>
      </c>
      <c r="F76" s="11">
        <f>INDEX('In-Use Stocks'!$M$81:$V$97,MATCH('CompilationCalcs - Di et al.EOL'!$A76,'In-Use Stocks'!$L$81:$L$97,0),MATCH('CompilationCalcs - Di et al.EOL'!$C76,'In-Use Stocks'!$M$80:$V$80,0))</f>
        <v>0.22738327729673571</v>
      </c>
      <c r="G76" t="s">
        <v>191</v>
      </c>
      <c r="H76" s="11">
        <f>IFERROR(INDEX(EndOfLife!$L$64:$P$78,MATCH($A76,EndOfLife!$A$64:$A$78,0),MATCH($G76,EndOfLife!$L$63:$P$63,0))*INDEX(PlasticsUse!$B$27:$L$41,MATCH('CompilationCalcs - Di et al.EOL'!$A76,PlasticsUse!$A$27:$A$41,0),MATCH('CompilationCalcs - Di et al.EOL'!$C76,PlasticsUse!$B$26:$L$26,0)),0)</f>
        <v>0</v>
      </c>
    </row>
    <row r="77" spans="1:8" x14ac:dyDescent="0.2">
      <c r="A77" t="s">
        <v>8</v>
      </c>
      <c r="B77" t="s">
        <v>206</v>
      </c>
      <c r="C77" t="s">
        <v>69</v>
      </c>
      <c r="D77" s="11">
        <f>INDEX(PlasticsUse!$B$48:$L$64,MATCH('CompilationCalcs - Di et al.EOL'!$A77,PlasticsUse!$A$48:$A$64,0),MATCH('CompilationCalcs - Di et al.EOL'!$C77,PlasticsUse!$B$47:$L$47,0))</f>
        <v>0.20617443319212375</v>
      </c>
      <c r="E77" s="11" t="str">
        <f>IF('CompilationCalcs - Di et al.EOL'!C77=PlasticsUse!$D$93,Conversions!$A$17,IF('CompilationCalcs - Di et al.EOL'!C77=PlasticsUse!$L$93,Conversions!$A$18,Conversions!$A$16))</f>
        <v>Automotive Shredding Facility</v>
      </c>
      <c r="F77" s="11">
        <f>INDEX('In-Use Stocks'!$M$81:$V$97,MATCH('CompilationCalcs - Di et al.EOL'!$A77,'In-Use Stocks'!$L$81:$L$97,0),MATCH('CompilationCalcs - Di et al.EOL'!$C77,'In-Use Stocks'!$M$80:$V$80,0))</f>
        <v>0.24656308762875945</v>
      </c>
      <c r="G77" t="s">
        <v>191</v>
      </c>
      <c r="H77" s="11">
        <f>IFERROR(INDEX(EndOfLife!$L$64:$P$78,MATCH($A77,EndOfLife!$A$64:$A$78,0),MATCH($G77,EndOfLife!$L$63:$P$63,0))*INDEX(PlasticsUse!$B$27:$L$41,MATCH('CompilationCalcs - Di et al.EOL'!$A77,PlasticsUse!$A$27:$A$41,0),MATCH('CompilationCalcs - Di et al.EOL'!$C77,PlasticsUse!$B$26:$L$26,0)),0)</f>
        <v>0</v>
      </c>
    </row>
    <row r="78" spans="1:8" x14ac:dyDescent="0.2">
      <c r="A78" t="s">
        <v>8</v>
      </c>
      <c r="B78" t="s">
        <v>206</v>
      </c>
      <c r="C78" t="s">
        <v>100</v>
      </c>
      <c r="D78" s="11">
        <f>INDEX(PlasticsUse!$B$48:$L$64,MATCH('CompilationCalcs - Di et al.EOL'!$A78,PlasticsUse!$A$48:$A$64,0),MATCH('CompilationCalcs - Di et al.EOL'!$C78,PlasticsUse!$B$47:$L$47,0))</f>
        <v>0.20617443319212375</v>
      </c>
      <c r="E78" s="11" t="str">
        <f>IF('CompilationCalcs - Di et al.EOL'!C78=PlasticsUse!$D$93,Conversions!$A$17,IF('CompilationCalcs - Di et al.EOL'!C78=PlasticsUse!$L$93,Conversions!$A$18,Conversions!$A$16))</f>
        <v>Transfer Station</v>
      </c>
      <c r="F78" s="11">
        <f>INDEX('In-Use Stocks'!$M$81:$V$97,MATCH('CompilationCalcs - Di et al.EOL'!$A78,'In-Use Stocks'!$L$81:$L$97,0),MATCH('CompilationCalcs - Di et al.EOL'!$C78,'In-Use Stocks'!$M$80:$V$80,0))</f>
        <v>0.18101112635101532</v>
      </c>
      <c r="G78" t="s">
        <v>191</v>
      </c>
      <c r="H78" s="11">
        <f>IFERROR(INDEX(EndOfLife!$L$64:$P$78,MATCH($A78,EndOfLife!$A$64:$A$78,0),MATCH($G78,EndOfLife!$L$63:$P$63,0))*INDEX(PlasticsUse!$B$27:$L$41,MATCH('CompilationCalcs - Di et al.EOL'!$A78,PlasticsUse!$A$27:$A$41,0),MATCH('CompilationCalcs - Di et al.EOL'!$C78,PlasticsUse!$B$26:$L$26,0)),0)</f>
        <v>0</v>
      </c>
    </row>
    <row r="79" spans="1:8" x14ac:dyDescent="0.2">
      <c r="A79" t="s">
        <v>8</v>
      </c>
      <c r="B79" t="s">
        <v>206</v>
      </c>
      <c r="C79" t="s">
        <v>39</v>
      </c>
      <c r="D79" s="11">
        <f>INDEX(PlasticsUse!$B$48:$L$64,MATCH('CompilationCalcs - Di et al.EOL'!$A79,PlasticsUse!$A$48:$A$64,0),MATCH('CompilationCalcs - Di et al.EOL'!$C79,PlasticsUse!$B$47:$L$47,0))</f>
        <v>0.20617443319212375</v>
      </c>
      <c r="E79" s="11" t="str">
        <f>IF('CompilationCalcs - Di et al.EOL'!C79=PlasticsUse!$D$93,Conversions!$A$17,IF('CompilationCalcs - Di et al.EOL'!C79=PlasticsUse!$L$93,Conversions!$A$18,Conversions!$A$16))</f>
        <v>Transfer Station</v>
      </c>
      <c r="F79" s="11">
        <f>INDEX('In-Use Stocks'!$M$81:$V$97,MATCH('CompilationCalcs - Di et al.EOL'!$A79,'In-Use Stocks'!$L$81:$L$97,0),MATCH('CompilationCalcs - Di et al.EOL'!$C79,'In-Use Stocks'!$M$80:$V$80,0))-EndOfLife!K66</f>
        <v>0.15043903319758822</v>
      </c>
      <c r="G79" t="s">
        <v>191</v>
      </c>
      <c r="H79" s="11">
        <f>IFERROR(INDEX(EndOfLife!$L$64:$P$78,MATCH($A79,EndOfLife!$A$64:$A$78,0),MATCH($G79,EndOfLife!$L$63:$P$63,0))*INDEX(PlasticsUse!$B$27:$L$41,MATCH('CompilationCalcs - Di et al.EOL'!$A79,PlasticsUse!$A$27:$A$41,0),MATCH('CompilationCalcs - Di et al.EOL'!$C79,PlasticsUse!$B$26:$L$26,0)),0)</f>
        <v>0</v>
      </c>
    </row>
    <row r="80" spans="1:8" x14ac:dyDescent="0.2">
      <c r="A80" t="s">
        <v>8</v>
      </c>
      <c r="B80" t="s">
        <v>206</v>
      </c>
      <c r="C80" t="s">
        <v>68</v>
      </c>
      <c r="D80" s="11">
        <f>INDEX(PlasticsUse!$B$48:$L$64,MATCH('CompilationCalcs - Di et al.EOL'!$A80,PlasticsUse!$A$48:$A$64,0),MATCH('CompilationCalcs - Di et al.EOL'!$C80,PlasticsUse!$B$47:$L$47,0))</f>
        <v>0.20617443319212375</v>
      </c>
      <c r="E80" s="11" t="str">
        <f>IF('CompilationCalcs - Di et al.EOL'!C80=PlasticsUse!$D$93,Conversions!$A$17,IF('CompilationCalcs - Di et al.EOL'!C80=PlasticsUse!$L$93,Conversions!$A$18,Conversions!$A$16))</f>
        <v>Transfer Station</v>
      </c>
      <c r="F80" s="11">
        <f>INDEX('In-Use Stocks'!$M$81:$V$97,MATCH('CompilationCalcs - Di et al.EOL'!$A80,'In-Use Stocks'!$L$81:$L$97,0),MATCH('CompilationCalcs - Di et al.EOL'!$C80,'In-Use Stocks'!$M$80:$V$80,0))</f>
        <v>0.25692173854078176</v>
      </c>
      <c r="G80" t="s">
        <v>333</v>
      </c>
      <c r="H80" s="11">
        <f>IFERROR(INDEX(EndOfLife!$L$64:$P$78,MATCH($A80,EndOfLife!$A$64:$A$78,0),MATCH($G80,EndOfLife!$L$63:$P$63,0))*INDEX(PlasticsUse!$B$27:$L$41,MATCH('CompilationCalcs - Di et al.EOL'!$A80,PlasticsUse!$A$27:$A$41,0),MATCH('CompilationCalcs - Di et al.EOL'!$C80,PlasticsUse!$B$26:$L$26,0)),0)</f>
        <v>6.1611699593472962E-3</v>
      </c>
    </row>
    <row r="81" spans="1:8" x14ac:dyDescent="0.2">
      <c r="A81" t="s">
        <v>8</v>
      </c>
      <c r="B81" t="s">
        <v>206</v>
      </c>
      <c r="C81" t="s">
        <v>63</v>
      </c>
      <c r="D81" s="11">
        <f>INDEX(PlasticsUse!$B$48:$L$64,MATCH('CompilationCalcs - Di et al.EOL'!$A81,PlasticsUse!$A$48:$A$64,0),MATCH('CompilationCalcs - Di et al.EOL'!$C81,PlasticsUse!$B$47:$L$47,0))</f>
        <v>0.20617443319212375</v>
      </c>
      <c r="E81" s="11" t="str">
        <f>IF('CompilationCalcs - Di et al.EOL'!C81=PlasticsUse!$D$93,Conversions!$A$17,IF('CompilationCalcs - Di et al.EOL'!C81=PlasticsUse!$L$93,Conversions!$A$18,Conversions!$A$16))</f>
        <v>Transfer Station</v>
      </c>
      <c r="F81" s="11">
        <f>INDEX('In-Use Stocks'!$M$81:$V$97,MATCH('CompilationCalcs - Di et al.EOL'!$A81,'In-Use Stocks'!$L$81:$L$97,0),MATCH('CompilationCalcs - Di et al.EOL'!$C81,'In-Use Stocks'!$M$80:$V$80,0))</f>
        <v>0.23510479532874518</v>
      </c>
      <c r="G81" t="s">
        <v>191</v>
      </c>
      <c r="H81" s="11">
        <f>IFERROR(INDEX(EndOfLife!$L$64:$P$78,MATCH($A81,EndOfLife!$A$64:$A$78,0),MATCH($G81,EndOfLife!$L$63:$P$63,0))*INDEX(PlasticsUse!$B$27:$L$41,MATCH('CompilationCalcs - Di et al.EOL'!$A81,PlasticsUse!$A$27:$A$41,0),MATCH('CompilationCalcs - Di et al.EOL'!$C81,PlasticsUse!$B$26:$L$26,0)),0)</f>
        <v>0</v>
      </c>
    </row>
    <row r="82" spans="1:8" x14ac:dyDescent="0.2">
      <c r="A82" t="s">
        <v>8</v>
      </c>
      <c r="B82" t="s">
        <v>206</v>
      </c>
      <c r="C82" t="s">
        <v>92</v>
      </c>
      <c r="D82" s="11">
        <f>INDEX(PlasticsUse!$B$48:$L$64,MATCH('CompilationCalcs - Di et al.EOL'!$A82,PlasticsUse!$A$48:$A$64,0),MATCH('CompilationCalcs - Di et al.EOL'!$C82,PlasticsUse!$B$47:$L$47,0))</f>
        <v>0.20617443319212375</v>
      </c>
      <c r="E82" s="11" t="str">
        <f>IF('CompilationCalcs - Di et al.EOL'!C82=PlasticsUse!$D$93,Conversions!$A$17,IF('CompilationCalcs - Di et al.EOL'!C82=PlasticsUse!$L$93,Conversions!$A$18,Conversions!$A$16))</f>
        <v>Transfer Station</v>
      </c>
      <c r="F82" s="11">
        <f>INDEX('In-Use Stocks'!$M$81:$V$97,MATCH('CompilationCalcs - Di et al.EOL'!$A82,'In-Use Stocks'!$L$81:$L$97,0),MATCH('CompilationCalcs - Di et al.EOL'!$C82,'In-Use Stocks'!$M$80:$V$80,0))</f>
        <v>0.20341265240171966</v>
      </c>
      <c r="G82" t="s">
        <v>191</v>
      </c>
      <c r="H82" s="11">
        <f>IFERROR(INDEX(EndOfLife!$L$64:$P$78,MATCH($A82,EndOfLife!$A$64:$A$78,0),MATCH($G82,EndOfLife!$L$63:$P$63,0))*INDEX(PlasticsUse!$B$27:$L$41,MATCH('CompilationCalcs - Di et al.EOL'!$A82,PlasticsUse!$A$27:$A$41,0),MATCH('CompilationCalcs - Di et al.EOL'!$C82,PlasticsUse!$B$26:$L$26,0)),0)</f>
        <v>0</v>
      </c>
    </row>
    <row r="83" spans="1:8" x14ac:dyDescent="0.2">
      <c r="A83" t="s">
        <v>8</v>
      </c>
      <c r="B83" t="s">
        <v>206</v>
      </c>
      <c r="C83" t="s">
        <v>103</v>
      </c>
      <c r="D83" s="11">
        <f>INDEX(PlasticsUse!$B$48:$L$64,MATCH('CompilationCalcs - Di et al.EOL'!$A83,PlasticsUse!$A$48:$A$64,0),MATCH('CompilationCalcs - Di et al.EOL'!$C83,PlasticsUse!$B$47:$L$47,0))</f>
        <v>0</v>
      </c>
      <c r="E83" s="11" t="str">
        <f>IF('CompilationCalcs - Di et al.EOL'!C83=PlasticsUse!$D$93,Conversions!$A$17,IF('CompilationCalcs - Di et al.EOL'!C83=PlasticsUse!$L$93,Conversions!$A$18,Conversions!$A$16))</f>
        <v>Transfer Station</v>
      </c>
      <c r="F83" s="11">
        <f>INDEX('In-Use Stocks'!$M$81:$V$97,MATCH('CompilationCalcs - Di et al.EOL'!$A83,'In-Use Stocks'!$L$81:$L$97,0),MATCH('CompilationCalcs - Di et al.EOL'!$C83,'In-Use Stocks'!$M$80:$V$80,0))</f>
        <v>0</v>
      </c>
      <c r="G83" t="s">
        <v>191</v>
      </c>
      <c r="H83" s="11">
        <f>IFERROR(INDEX(EndOfLife!$L$64:$P$78,MATCH($A83,EndOfLife!$A$64:$A$78,0),MATCH($G83,EndOfLife!$L$63:$P$63,0))*INDEX(PlasticsUse!$B$27:$L$41,MATCH('CompilationCalcs - Di et al.EOL'!$A83,PlasticsUse!$A$27:$A$41,0),MATCH('CompilationCalcs - Di et al.EOL'!$C83,PlasticsUse!$B$26:$L$26,0)),0)</f>
        <v>0</v>
      </c>
    </row>
    <row r="84" spans="1:8" x14ac:dyDescent="0.2">
      <c r="A84" t="s">
        <v>8</v>
      </c>
      <c r="B84" t="s">
        <v>206</v>
      </c>
      <c r="C84" t="s">
        <v>86</v>
      </c>
      <c r="D84" s="11">
        <f>INDEX(PlasticsUse!$B$48:$L$64,MATCH('CompilationCalcs - Di et al.EOL'!$A84,PlasticsUse!$A$48:$A$64,0),MATCH('CompilationCalcs - Di et al.EOL'!$C84,PlasticsUse!$B$47:$L$47,0))</f>
        <v>0.20617443319212375</v>
      </c>
      <c r="E84" s="11" t="str">
        <f>IF('CompilationCalcs - Di et al.EOL'!C84=PlasticsUse!$D$93,Conversions!$A$17,IF('CompilationCalcs - Di et al.EOL'!C84=PlasticsUse!$L$93,Conversions!$A$18,Conversions!$A$16))</f>
        <v>Transfer Station</v>
      </c>
      <c r="F84" s="11">
        <f>INDEX('In-Use Stocks'!$M$81:$V$97,MATCH('CompilationCalcs - Di et al.EOL'!$A84,'In-Use Stocks'!$L$81:$L$97,0),MATCH('CompilationCalcs - Di et al.EOL'!$C84,'In-Use Stocks'!$M$80:$V$80,0))</f>
        <v>0.20341265240171966</v>
      </c>
      <c r="G84" t="s">
        <v>191</v>
      </c>
      <c r="H84" s="11">
        <f>IFERROR(INDEX(EndOfLife!$L$64:$P$78,MATCH($A84,EndOfLife!$A$64:$A$78,0),MATCH($G84,EndOfLife!$L$63:$P$63,0))*INDEX(PlasticsUse!$B$27:$L$41,MATCH('CompilationCalcs - Di et al.EOL'!$A84,PlasticsUse!$A$27:$A$41,0),MATCH('CompilationCalcs - Di et al.EOL'!$C84,PlasticsUse!$B$26:$L$26,0)),0)</f>
        <v>0</v>
      </c>
    </row>
    <row r="85" spans="1:8" x14ac:dyDescent="0.2">
      <c r="A85" t="s">
        <v>8</v>
      </c>
      <c r="B85" t="s">
        <v>206</v>
      </c>
      <c r="C85" t="s">
        <v>18</v>
      </c>
      <c r="D85" s="11">
        <f>INDEX(PlasticsUse!$B$48:$L$64,MATCH('CompilationCalcs - Di et al.EOL'!$A85,PlasticsUse!$A$48:$A$64,0),MATCH('CompilationCalcs - Di et al.EOL'!$C85,PlasticsUse!$B$47:$L$47,0))</f>
        <v>0.20617443319212375</v>
      </c>
      <c r="E85" s="11" t="str">
        <f>IF('CompilationCalcs - Di et al.EOL'!C85=PlasticsUse!$D$93,Conversions!$A$17,IF('CompilationCalcs - Di et al.EOL'!C85=PlasticsUse!$L$93,Conversions!$A$18,Conversions!$A$16))</f>
        <v>N/A</v>
      </c>
      <c r="F85" s="11">
        <v>0</v>
      </c>
      <c r="G85" t="s">
        <v>287</v>
      </c>
      <c r="H85" s="11">
        <f>IFERROR(INDEX(EndOfLife!$L$64:$P$78,MATCH($A85,EndOfLife!$A$64:$A$78,0),MATCH($G85,EndOfLife!$L$63:$P$63,0))*INDEX(PlasticsUse!$B$27:$L$41,MATCH('CompilationCalcs - Di et al.EOL'!$A85,PlasticsUse!$A$27:$A$41,0),MATCH('CompilationCalcs - Di et al.EOL'!$C85,PlasticsUse!$B$26:$L$26,0)),0)</f>
        <v>0</v>
      </c>
    </row>
    <row r="86" spans="1:8" x14ac:dyDescent="0.2">
      <c r="A86" t="s">
        <v>8</v>
      </c>
      <c r="B86" t="s">
        <v>206</v>
      </c>
      <c r="C86" t="s">
        <v>38</v>
      </c>
      <c r="D86" s="11"/>
      <c r="E86" s="11" t="s">
        <v>925</v>
      </c>
      <c r="F86" s="11">
        <f>IFERROR(INDEX(EndOfLife!$K$64:$P$78,MATCH($A86,EndOfLife!$A$64:$A$78,0),MATCH($E86,EndOfLife!$K$63:$P$63,0))*INDEX(PlasticsUse!$B$27:$L$41,MATCH('CompilationCalcs - Di et al.EOL'!$A86,PlasticsUse!$A$27:$A$41,0),MATCH('CompilationCalcs - Di et al.EOL'!$C86,PlasticsUse!$B$26:$L$26,0)),0)</f>
        <v>1.261234704700066E-2</v>
      </c>
      <c r="G86" t="s">
        <v>287</v>
      </c>
      <c r="H86" s="11">
        <f>IFERROR(INDEX(EndOfLife!$K$64:$P$78,MATCH($A86,EndOfLife!$A$64:$A$78,0),MATCH($E86,EndOfLife!$K$63:$P$63,0))*INDEX(PlasticsUse!$B$27:$L$41,MATCH('CompilationCalcs - Di et al.EOL'!$A86,PlasticsUse!$A$27:$A$41,0),MATCH('CompilationCalcs - Di et al.EOL'!$C86,PlasticsUse!$B$26:$L$26,0)),0)</f>
        <v>1.261234704700066E-2</v>
      </c>
    </row>
    <row r="87" spans="1:8" x14ac:dyDescent="0.2">
      <c r="A87" t="s">
        <v>8</v>
      </c>
      <c r="B87" t="s">
        <v>206</v>
      </c>
      <c r="C87" t="s">
        <v>99</v>
      </c>
      <c r="D87" s="11"/>
      <c r="E87" s="11" t="s">
        <v>925</v>
      </c>
      <c r="F87" s="11">
        <f>IFERROR(INDEX(EndOfLife!$K$64:$P$78,MATCH($A87,EndOfLife!$A$64:$A$78,0),MATCH($E87,EndOfLife!$K$63:$P$63,0))*INDEX(PlasticsUse!$B$27:$L$41,MATCH('CompilationCalcs - Di et al.EOL'!$A87,PlasticsUse!$A$27:$A$41,0),MATCH('CompilationCalcs - Di et al.EOL'!$C87,PlasticsUse!$B$26:$L$26,0)),0)</f>
        <v>1.261234704700066E-2</v>
      </c>
      <c r="G87" t="s">
        <v>287</v>
      </c>
      <c r="H87" s="11">
        <f>IFERROR(INDEX(EndOfLife!$K$64:$P$78,MATCH($A87,EndOfLife!$A$64:$A$78,0),MATCH($E87,EndOfLife!$K$63:$P$63,0))*INDEX(PlasticsUse!$B$27:$L$41,MATCH('CompilationCalcs - Di et al.EOL'!$A87,PlasticsUse!$A$27:$A$41,0),MATCH('CompilationCalcs - Di et al.EOL'!$C87,PlasticsUse!$B$26:$L$26,0)),0)</f>
        <v>1.261234704700066E-2</v>
      </c>
    </row>
    <row r="88" spans="1:8" x14ac:dyDescent="0.2">
      <c r="A88" t="s">
        <v>8</v>
      </c>
      <c r="B88" t="s">
        <v>206</v>
      </c>
      <c r="C88" t="s">
        <v>69</v>
      </c>
      <c r="D88" s="11"/>
      <c r="E88" s="11" t="str">
        <f>IF('CompilationCalcs - Di et al.EOL'!C88=PlasticsUse!$D$93,Conversions!$A$17,IF('CompilationCalcs - Di et al.EOL'!C88=PlasticsUse!$L$93,Conversions!$A$18,Conversions!$A$16))</f>
        <v>Automotive Shredding Facility</v>
      </c>
      <c r="F88" s="11">
        <f>INDEX('In-Use Stocks'!$M$81:$V$97,MATCH('CompilationCalcs - Di et al.EOL'!$A88,'In-Use Stocks'!$L$81:$L$97,0),MATCH('CompilationCalcs - Di et al.EOL'!$C88,'In-Use Stocks'!$M$80:$V$80,0))</f>
        <v>0.24656308762875945</v>
      </c>
      <c r="G88" t="s">
        <v>925</v>
      </c>
      <c r="H88" s="11">
        <f>IFERROR(INDEX(EndOfLife!$K$64:$P$78,MATCH($A88,EndOfLife!$A$64:$A$78,0),MATCH($E88,EndOfLife!$K$63:$P$63,0))*INDEX(PlasticsUse!$B$27:$L$41,MATCH('CompilationCalcs - Di et al.EOL'!$A88,PlasticsUse!$A$27:$A$41,0),MATCH('CompilationCalcs - Di et al.EOL'!$C88,PlasticsUse!$B$26:$L$26,0)),0)</f>
        <v>0</v>
      </c>
    </row>
    <row r="89" spans="1:8" x14ac:dyDescent="0.2">
      <c r="A89" t="s">
        <v>8</v>
      </c>
      <c r="B89" t="s">
        <v>206</v>
      </c>
      <c r="C89" t="s">
        <v>100</v>
      </c>
      <c r="D89" s="11"/>
      <c r="E89" s="11" t="s">
        <v>925</v>
      </c>
      <c r="F89" s="11">
        <f>IFERROR(INDEX(EndOfLife!$K$64:$P$78,MATCH($A89,EndOfLife!$A$64:$A$78,0),MATCH($E89,EndOfLife!$K$63:$P$63,0))*INDEX(PlasticsUse!$B$27:$L$41,MATCH('CompilationCalcs - Di et al.EOL'!$A89,PlasticsUse!$A$27:$A$41,0),MATCH('CompilationCalcs - Di et al.EOL'!$C89,PlasticsUse!$B$26:$L$26,0)),0)</f>
        <v>1.261234704700066E-2</v>
      </c>
      <c r="G89" t="s">
        <v>287</v>
      </c>
      <c r="H89" s="11">
        <f>IFERROR(INDEX(EndOfLife!$K$64:$P$78,MATCH($A89,EndOfLife!$A$64:$A$78,0),MATCH($E89,EndOfLife!$K$63:$P$63,0))*INDEX(PlasticsUse!$B$27:$L$41,MATCH('CompilationCalcs - Di et al.EOL'!$A89,PlasticsUse!$A$27:$A$41,0),MATCH('CompilationCalcs - Di et al.EOL'!$C89,PlasticsUse!$B$26:$L$26,0)),0)</f>
        <v>1.261234704700066E-2</v>
      </c>
    </row>
    <row r="90" spans="1:8" x14ac:dyDescent="0.2">
      <c r="A90" t="s">
        <v>8</v>
      </c>
      <c r="B90" t="s">
        <v>206</v>
      </c>
      <c r="C90" t="s">
        <v>39</v>
      </c>
      <c r="D90" s="11"/>
      <c r="E90" s="11" t="s">
        <v>925</v>
      </c>
      <c r="F90" s="11">
        <f>IFERROR(INDEX(EndOfLife!$K$64:$P$78,MATCH($A90,EndOfLife!$A$64:$A$78,0),MATCH($E90,EndOfLife!$K$63:$P$63,0))*INDEX(PlasticsUse!$B$27:$L$41,MATCH('CompilationCalcs - Di et al.EOL'!$A90,PlasticsUse!$A$27:$A$41,0),MATCH('CompilationCalcs - Di et al.EOL'!$C90,PlasticsUse!$B$26:$L$26,0)),0)</f>
        <v>1.261234704700066E-2</v>
      </c>
      <c r="G90" t="s">
        <v>287</v>
      </c>
      <c r="H90" s="11">
        <f>IFERROR(INDEX(EndOfLife!$K$64:$P$78,MATCH($A90,EndOfLife!$A$64:$A$78,0),MATCH($E90,EndOfLife!$K$63:$P$63,0))*INDEX(PlasticsUse!$B$27:$L$41,MATCH('CompilationCalcs - Di et al.EOL'!$A90,PlasticsUse!$A$27:$A$41,0),MATCH('CompilationCalcs - Di et al.EOL'!$C90,PlasticsUse!$B$26:$L$26,0)),0)</f>
        <v>1.261234704700066E-2</v>
      </c>
    </row>
    <row r="91" spans="1:8" x14ac:dyDescent="0.2">
      <c r="A91" t="s">
        <v>8</v>
      </c>
      <c r="B91" t="s">
        <v>206</v>
      </c>
      <c r="C91" t="s">
        <v>68</v>
      </c>
      <c r="D91" s="11"/>
      <c r="E91" s="11" t="s">
        <v>925</v>
      </c>
      <c r="F91" s="11">
        <f>IFERROR(INDEX(EndOfLife!$K$64:$P$78,MATCH($A91,EndOfLife!$A$64:$A$78,0),MATCH($E91,EndOfLife!$K$63:$P$63,0))*INDEX(PlasticsUse!$B$27:$L$41,MATCH('CompilationCalcs - Di et al.EOL'!$A91,PlasticsUse!$A$27:$A$41,0),MATCH('CompilationCalcs - Di et al.EOL'!$C91,PlasticsUse!$B$26:$L$26,0)),0)</f>
        <v>1.261234704700066E-2</v>
      </c>
      <c r="G91" t="s">
        <v>333</v>
      </c>
      <c r="H91" s="11">
        <f>IFERROR(INDEX(EndOfLife!$K$64:$P$78,MATCH($A91,EndOfLife!$A$64:$A$78,0),MATCH($G91,EndOfLife!$K$63:$P$63,0))*INDEX(PlasticsUse!$B$27:$L$41,MATCH('CompilationCalcs - Di et al.EOL'!$A91,PlasticsUse!$A$27:$A$41,0),MATCH('CompilationCalcs - Di et al.EOL'!$C91,PlasticsUse!$B$26:$L$26,0)),0)</f>
        <v>6.1611699593472962E-3</v>
      </c>
    </row>
    <row r="92" spans="1:8" x14ac:dyDescent="0.2">
      <c r="A92" t="s">
        <v>8</v>
      </c>
      <c r="B92" t="s">
        <v>206</v>
      </c>
      <c r="C92" t="s">
        <v>63</v>
      </c>
      <c r="D92" s="11"/>
      <c r="E92" s="11" t="s">
        <v>925</v>
      </c>
      <c r="F92" s="11">
        <f>IFERROR(INDEX(EndOfLife!$K$64:$P$78,MATCH($A92,EndOfLife!$A$64:$A$78,0),MATCH($E92,EndOfLife!$K$63:$P$63,0))*INDEX(PlasticsUse!$B$27:$L$41,MATCH('CompilationCalcs - Di et al.EOL'!$A92,PlasticsUse!$A$27:$A$41,0),MATCH('CompilationCalcs - Di et al.EOL'!$C92,PlasticsUse!$B$26:$L$26,0)),0)</f>
        <v>1.261234704700066E-2</v>
      </c>
      <c r="G92" t="s">
        <v>287</v>
      </c>
      <c r="H92" s="11">
        <f>IFERROR(INDEX(EndOfLife!$K$64:$P$78,MATCH($A92,EndOfLife!$A$64:$A$78,0),MATCH($E92,EndOfLife!$K$63:$P$63,0))*INDEX(PlasticsUse!$B$27:$L$41,MATCH('CompilationCalcs - Di et al.EOL'!$A92,PlasticsUse!$A$27:$A$41,0),MATCH('CompilationCalcs - Di et al.EOL'!$C92,PlasticsUse!$B$26:$L$26,0)),0)</f>
        <v>1.261234704700066E-2</v>
      </c>
    </row>
    <row r="93" spans="1:8" x14ac:dyDescent="0.2">
      <c r="A93" t="s">
        <v>8</v>
      </c>
      <c r="B93" t="s">
        <v>206</v>
      </c>
      <c r="C93" t="s">
        <v>92</v>
      </c>
      <c r="D93" s="11"/>
      <c r="E93" s="11" t="s">
        <v>925</v>
      </c>
      <c r="F93" s="11">
        <f>IFERROR(INDEX(EndOfLife!$K$64:$P$78,MATCH($A93,EndOfLife!$A$64:$A$78,0),MATCH($E93,EndOfLife!$K$63:$P$63,0))*INDEX(PlasticsUse!$B$27:$L$41,MATCH('CompilationCalcs - Di et al.EOL'!$A93,PlasticsUse!$A$27:$A$41,0),MATCH('CompilationCalcs - Di et al.EOL'!$C93,PlasticsUse!$B$26:$L$26,0)),0)</f>
        <v>1.261234704700066E-2</v>
      </c>
      <c r="G93" t="s">
        <v>287</v>
      </c>
      <c r="H93" s="11">
        <f>IFERROR(INDEX(EndOfLife!$K$64:$P$78,MATCH($A93,EndOfLife!$A$64:$A$78,0),MATCH($E93,EndOfLife!$K$63:$P$63,0))*INDEX(PlasticsUse!$B$27:$L$41,MATCH('CompilationCalcs - Di et al.EOL'!$A93,PlasticsUse!$A$27:$A$41,0),MATCH('CompilationCalcs - Di et al.EOL'!$C93,PlasticsUse!$B$26:$L$26,0)),0)</f>
        <v>1.261234704700066E-2</v>
      </c>
    </row>
    <row r="94" spans="1:8" x14ac:dyDescent="0.2">
      <c r="A94" t="s">
        <v>8</v>
      </c>
      <c r="B94" t="s">
        <v>206</v>
      </c>
      <c r="C94" t="s">
        <v>103</v>
      </c>
      <c r="D94" s="11"/>
      <c r="E94" s="11" t="s">
        <v>925</v>
      </c>
      <c r="F94" s="11">
        <f>IFERROR(INDEX(EndOfLife!$K$64:$P$78,MATCH($A94,EndOfLife!$A$64:$A$78,0),MATCH($E94,EndOfLife!$K$63:$P$63,0))*INDEX(PlasticsUse!$B$27:$L$41,MATCH('CompilationCalcs - Di et al.EOL'!$A94,PlasticsUse!$A$27:$A$41,0),MATCH('CompilationCalcs - Di et al.EOL'!$C94,PlasticsUse!$B$26:$L$26,0)),0)</f>
        <v>0</v>
      </c>
      <c r="G94" t="s">
        <v>287</v>
      </c>
      <c r="H94" s="11">
        <f>IFERROR(INDEX(EndOfLife!$K$64:$P$78,MATCH($A94,EndOfLife!$A$64:$A$78,0),MATCH($E94,EndOfLife!$K$63:$P$63,0))*INDEX(PlasticsUse!$B$27:$L$41,MATCH('CompilationCalcs - Di et al.EOL'!$A94,PlasticsUse!$A$27:$A$41,0),MATCH('CompilationCalcs - Di et al.EOL'!$C94,PlasticsUse!$B$26:$L$26,0)),0)</f>
        <v>0</v>
      </c>
    </row>
    <row r="95" spans="1:8" x14ac:dyDescent="0.2">
      <c r="A95" t="s">
        <v>8</v>
      </c>
      <c r="B95" t="s">
        <v>206</v>
      </c>
      <c r="C95" t="s">
        <v>86</v>
      </c>
      <c r="D95" s="11"/>
      <c r="E95" s="11" t="s">
        <v>925</v>
      </c>
      <c r="F95" s="11">
        <f>IFERROR(INDEX(EndOfLife!$K$64:$P$78,MATCH($A95,EndOfLife!$A$64:$A$78,0),MATCH($E95,EndOfLife!$K$63:$P$63,0))*INDEX(PlasticsUse!$B$27:$L$41,MATCH('CompilationCalcs - Di et al.EOL'!$A95,PlasticsUse!$A$27:$A$41,0),MATCH('CompilationCalcs - Di et al.EOL'!$C95,PlasticsUse!$B$26:$L$26,0)),0)</f>
        <v>1.261234704700066E-2</v>
      </c>
      <c r="G95" t="s">
        <v>287</v>
      </c>
      <c r="H95" s="11">
        <f>IFERROR(INDEX(EndOfLife!$K$64:$P$78,MATCH($A95,EndOfLife!$A$64:$A$78,0),MATCH($E95,EndOfLife!$K$63:$P$63,0))*INDEX(PlasticsUse!$B$27:$L$41,MATCH('CompilationCalcs - Di et al.EOL'!$A95,PlasticsUse!$A$27:$A$41,0),MATCH('CompilationCalcs - Di et al.EOL'!$C95,PlasticsUse!$B$26:$L$26,0)),0)</f>
        <v>1.261234704700066E-2</v>
      </c>
    </row>
    <row r="96" spans="1:8" x14ac:dyDescent="0.2">
      <c r="A96" t="s">
        <v>8</v>
      </c>
      <c r="B96" t="s">
        <v>207</v>
      </c>
      <c r="C96" t="s">
        <v>38</v>
      </c>
      <c r="D96" s="11"/>
      <c r="E96" s="11" t="str">
        <f>IF('CompilationCalcs - Di et al.EOL'!C96=PlasticsUse!$D$93,Conversions!$A$17,IF('CompilationCalcs - Di et al.EOL'!C96=PlasticsUse!$L$93,Conversions!$A$18,Conversions!$A$16))</f>
        <v>Transfer Station</v>
      </c>
      <c r="F96" s="11">
        <f t="shared" si="1"/>
        <v>0</v>
      </c>
      <c r="G96" t="s">
        <v>5</v>
      </c>
      <c r="H96" s="11">
        <f>IFERROR(INDEX(EndOfLife!$L$64:$P$78,MATCH($A96,EndOfLife!$A$64:$A$78,0),MATCH($G96,EndOfLife!$L$63:$P$63,0))*INDEX(PlasticsUse!$B$27:$L$41,MATCH('CompilationCalcs - Di et al.EOL'!$A96,PlasticsUse!$A$27:$A$41,0),MATCH('CompilationCalcs - Di et al.EOL'!$C96,PlasticsUse!$B$26:$L$26,0)),0)</f>
        <v>2.8169962096213925E-2</v>
      </c>
    </row>
    <row r="97" spans="1:8" x14ac:dyDescent="0.2">
      <c r="A97" t="s">
        <v>8</v>
      </c>
      <c r="B97" t="s">
        <v>207</v>
      </c>
      <c r="C97" t="s">
        <v>99</v>
      </c>
      <c r="D97" s="11"/>
      <c r="E97" s="11" t="str">
        <f>IF('CompilationCalcs - Di et al.EOL'!C97=PlasticsUse!$D$93,Conversions!$A$17,IF('CompilationCalcs - Di et al.EOL'!C97=PlasticsUse!$L$93,Conversions!$A$18,Conversions!$A$16))</f>
        <v>Transfer Station</v>
      </c>
      <c r="F97" s="11">
        <f t="shared" si="1"/>
        <v>0</v>
      </c>
      <c r="G97" t="s">
        <v>5</v>
      </c>
      <c r="H97" s="11">
        <f>IFERROR(INDEX(EndOfLife!$L$64:$P$78,MATCH($A97,EndOfLife!$A$64:$A$78,0),MATCH($G97,EndOfLife!$L$63:$P$63,0))*INDEX(PlasticsUse!$B$27:$L$41,MATCH('CompilationCalcs - Di et al.EOL'!$A97,PlasticsUse!$A$27:$A$41,0),MATCH('CompilationCalcs - Di et al.EOL'!$C97,PlasticsUse!$B$26:$L$26,0)),0)</f>
        <v>2.8169962096213925E-2</v>
      </c>
    </row>
    <row r="98" spans="1:8" x14ac:dyDescent="0.2">
      <c r="A98" t="s">
        <v>8</v>
      </c>
      <c r="B98" t="s">
        <v>207</v>
      </c>
      <c r="C98" t="s">
        <v>69</v>
      </c>
      <c r="D98" s="11"/>
      <c r="E98" s="11" t="str">
        <f>IF('CompilationCalcs - Di et al.EOL'!C98=PlasticsUse!$D$93,Conversions!$A$17,IF('CompilationCalcs - Di et al.EOL'!C98=PlasticsUse!$L$93,Conversions!$A$18,Conversions!$A$16))</f>
        <v>Automotive Shredding Facility</v>
      </c>
      <c r="F98" s="11">
        <f t="shared" si="1"/>
        <v>0</v>
      </c>
      <c r="G98" t="s">
        <v>5</v>
      </c>
      <c r="H98" s="11">
        <f>IFERROR(INDEX(EndOfLife!$L$64:$P$78,MATCH($A98,EndOfLife!$A$64:$A$78,0),MATCH($G98,EndOfLife!$L$63:$P$63,0))*INDEX(PlasticsUse!$B$27:$L$41,MATCH('CompilationCalcs - Di et al.EOL'!$A98,PlasticsUse!$A$27:$A$41,0),MATCH('CompilationCalcs - Di et al.EOL'!$C98,PlasticsUse!$B$26:$L$26,0)),0)</f>
        <v>2.8169962096213925E-2</v>
      </c>
    </row>
    <row r="99" spans="1:8" x14ac:dyDescent="0.2">
      <c r="A99" t="s">
        <v>8</v>
      </c>
      <c r="B99" t="s">
        <v>207</v>
      </c>
      <c r="C99" t="s">
        <v>100</v>
      </c>
      <c r="D99" s="11"/>
      <c r="E99" s="11" t="str">
        <f>IF('CompilationCalcs - Di et al.EOL'!C99=PlasticsUse!$D$93,Conversions!$A$17,IF('CompilationCalcs - Di et al.EOL'!C99=PlasticsUse!$L$93,Conversions!$A$18,Conversions!$A$16))</f>
        <v>Transfer Station</v>
      </c>
      <c r="F99" s="11">
        <f t="shared" si="1"/>
        <v>0</v>
      </c>
      <c r="G99" t="s">
        <v>5</v>
      </c>
      <c r="H99" s="11">
        <f>IFERROR(INDEX(EndOfLife!$L$64:$P$78,MATCH($A99,EndOfLife!$A$64:$A$78,0),MATCH($G99,EndOfLife!$L$63:$P$63,0))*INDEX(PlasticsUse!$B$27:$L$41,MATCH('CompilationCalcs - Di et al.EOL'!$A99,PlasticsUse!$A$27:$A$41,0),MATCH('CompilationCalcs - Di et al.EOL'!$C99,PlasticsUse!$B$26:$L$26,0)),0)</f>
        <v>2.8169962096213925E-2</v>
      </c>
    </row>
    <row r="100" spans="1:8" x14ac:dyDescent="0.2">
      <c r="A100" t="s">
        <v>8</v>
      </c>
      <c r="B100" t="s">
        <v>207</v>
      </c>
      <c r="C100" t="s">
        <v>39</v>
      </c>
      <c r="D100" s="11"/>
      <c r="E100" s="11" t="str">
        <f>IF('CompilationCalcs - Di et al.EOL'!C100=PlasticsUse!$D$93,Conversions!$A$17,IF('CompilationCalcs - Di et al.EOL'!C100=PlasticsUse!$L$93,Conversions!$A$18,Conversions!$A$16))</f>
        <v>Transfer Station</v>
      </c>
      <c r="F100" s="11">
        <f t="shared" si="1"/>
        <v>0</v>
      </c>
      <c r="G100" t="s">
        <v>5</v>
      </c>
      <c r="H100" s="11">
        <f>IFERROR(INDEX(EndOfLife!$L$64:$P$78,MATCH($A100,EndOfLife!$A$64:$A$78,0),MATCH($G100,EndOfLife!$L$63:$P$63,0))*INDEX(PlasticsUse!$B$27:$L$41,MATCH('CompilationCalcs - Di et al.EOL'!$A100,PlasticsUse!$A$27:$A$41,0),MATCH('CompilationCalcs - Di et al.EOL'!$C100,PlasticsUse!$B$26:$L$26,0)),0)</f>
        <v>2.8169962096213925E-2</v>
      </c>
    </row>
    <row r="101" spans="1:8" x14ac:dyDescent="0.2">
      <c r="A101" t="s">
        <v>8</v>
      </c>
      <c r="B101" t="s">
        <v>207</v>
      </c>
      <c r="C101" t="s">
        <v>63</v>
      </c>
      <c r="D101" s="11"/>
      <c r="E101" s="11" t="str">
        <f>IF('CompilationCalcs - Di et al.EOL'!C101=PlasticsUse!$D$93,Conversions!$A$17,IF('CompilationCalcs - Di et al.EOL'!C101=PlasticsUse!$L$93,Conversions!$A$18,Conversions!$A$16))</f>
        <v>Transfer Station</v>
      </c>
      <c r="F101" s="11">
        <f t="shared" si="1"/>
        <v>0</v>
      </c>
      <c r="G101" t="s">
        <v>5</v>
      </c>
      <c r="H101" s="11">
        <f>IFERROR(INDEX(EndOfLife!$L$64:$P$78,MATCH($A101,EndOfLife!$A$64:$A$78,0),MATCH($G101,EndOfLife!$L$63:$P$63,0))*INDEX(PlasticsUse!$B$27:$L$41,MATCH('CompilationCalcs - Di et al.EOL'!$A101,PlasticsUse!$A$27:$A$41,0),MATCH('CompilationCalcs - Di et al.EOL'!$C101,PlasticsUse!$B$26:$L$26,0)),0)</f>
        <v>2.8169962096213925E-2</v>
      </c>
    </row>
    <row r="102" spans="1:8" x14ac:dyDescent="0.2">
      <c r="A102" t="s">
        <v>8</v>
      </c>
      <c r="B102" t="s">
        <v>207</v>
      </c>
      <c r="C102" t="s">
        <v>92</v>
      </c>
      <c r="D102" s="11"/>
      <c r="E102" s="11" t="str">
        <f>IF('CompilationCalcs - Di et al.EOL'!C102=PlasticsUse!$D$93,Conversions!$A$17,IF('CompilationCalcs - Di et al.EOL'!C102=PlasticsUse!$L$93,Conversions!$A$18,Conversions!$A$16))</f>
        <v>Transfer Station</v>
      </c>
      <c r="F102" s="11">
        <f t="shared" si="1"/>
        <v>0</v>
      </c>
      <c r="G102" t="s">
        <v>5</v>
      </c>
      <c r="H102" s="11">
        <f>IFERROR(INDEX(EndOfLife!$L$64:$P$78,MATCH($A102,EndOfLife!$A$64:$A$78,0),MATCH($G102,EndOfLife!$L$63:$P$63,0))*INDEX(PlasticsUse!$B$27:$L$41,MATCH('CompilationCalcs - Di et al.EOL'!$A102,PlasticsUse!$A$27:$A$41,0),MATCH('CompilationCalcs - Di et al.EOL'!$C102,PlasticsUse!$B$26:$L$26,0)),0)</f>
        <v>2.8169962096213925E-2</v>
      </c>
    </row>
    <row r="103" spans="1:8" x14ac:dyDescent="0.2">
      <c r="A103" t="s">
        <v>8</v>
      </c>
      <c r="B103" t="s">
        <v>207</v>
      </c>
      <c r="C103" t="s">
        <v>103</v>
      </c>
      <c r="D103" s="11"/>
      <c r="E103" s="11" t="str">
        <f>IF('CompilationCalcs - Di et al.EOL'!C103=PlasticsUse!$D$93,Conversions!$A$17,IF('CompilationCalcs - Di et al.EOL'!C103=PlasticsUse!$L$93,Conversions!$A$18,Conversions!$A$16))</f>
        <v>Transfer Station</v>
      </c>
      <c r="F103" s="11">
        <f t="shared" si="1"/>
        <v>0</v>
      </c>
      <c r="G103" t="s">
        <v>5</v>
      </c>
      <c r="H103" s="11">
        <f>IFERROR(INDEX(EndOfLife!$L$64:$P$78,MATCH($A103,EndOfLife!$A$64:$A$78,0),MATCH($G103,EndOfLife!$L$63:$P$63,0))*INDEX(PlasticsUse!$B$27:$L$41,MATCH('CompilationCalcs - Di et al.EOL'!$A103,PlasticsUse!$A$27:$A$41,0),MATCH('CompilationCalcs - Di et al.EOL'!$C103,PlasticsUse!$B$26:$L$26,0)),0)</f>
        <v>0</v>
      </c>
    </row>
    <row r="104" spans="1:8" x14ac:dyDescent="0.2">
      <c r="A104" t="s">
        <v>8</v>
      </c>
      <c r="B104" t="s">
        <v>207</v>
      </c>
      <c r="C104" t="s">
        <v>86</v>
      </c>
      <c r="D104" s="11"/>
      <c r="E104" s="11" t="str">
        <f>IF('CompilationCalcs - Di et al.EOL'!C104=PlasticsUse!$D$93,Conversions!$A$17,IF('CompilationCalcs - Di et al.EOL'!C104=PlasticsUse!$L$93,Conversions!$A$18,Conversions!$A$16))</f>
        <v>Transfer Station</v>
      </c>
      <c r="F104" s="11">
        <f t="shared" si="1"/>
        <v>0</v>
      </c>
      <c r="G104" t="s">
        <v>5</v>
      </c>
      <c r="H104" s="11">
        <f>IFERROR(INDEX(EndOfLife!$L$64:$P$78,MATCH($A104,EndOfLife!$A$64:$A$78,0),MATCH($G104,EndOfLife!$L$63:$P$63,0))*INDEX(PlasticsUse!$B$27:$L$41,MATCH('CompilationCalcs - Di et al.EOL'!$A104,PlasticsUse!$A$27:$A$41,0),MATCH('CompilationCalcs - Di et al.EOL'!$C104,PlasticsUse!$B$26:$L$26,0)),0)</f>
        <v>2.8169962096213925E-2</v>
      </c>
    </row>
    <row r="105" spans="1:8" x14ac:dyDescent="0.2">
      <c r="A105" t="s">
        <v>8</v>
      </c>
      <c r="B105" t="s">
        <v>207</v>
      </c>
      <c r="C105" t="s">
        <v>18</v>
      </c>
      <c r="D105" s="11"/>
      <c r="E105" s="11" t="str">
        <f>IF('CompilationCalcs - Di et al.EOL'!C105=PlasticsUse!$D$93,Conversions!$A$17,IF('CompilationCalcs - Di et al.EOL'!C105=PlasticsUse!$L$93,Conversions!$A$18,Conversions!$A$16))</f>
        <v>N/A</v>
      </c>
      <c r="F105" s="11">
        <f t="shared" si="1"/>
        <v>0</v>
      </c>
      <c r="G105" t="s">
        <v>287</v>
      </c>
      <c r="H105" s="11">
        <f>IFERROR(INDEX(EndOfLife!$L$64:$P$78,MATCH($A105,EndOfLife!$A$64:$A$78,0),MATCH($G105,EndOfLife!$L$63:$P$63,0))*INDEX(PlasticsUse!$B$27:$L$41,MATCH('CompilationCalcs - Di et al.EOL'!$A105,PlasticsUse!$A$27:$A$41,0),MATCH('CompilationCalcs - Di et al.EOL'!$C105,PlasticsUse!$B$26:$L$26,0)),0)</f>
        <v>0</v>
      </c>
    </row>
    <row r="106" spans="1:8" x14ac:dyDescent="0.2">
      <c r="A106" t="s">
        <v>8</v>
      </c>
      <c r="B106" t="s">
        <v>207</v>
      </c>
      <c r="C106" t="s">
        <v>38</v>
      </c>
      <c r="D106" s="11"/>
      <c r="E106" s="11" t="str">
        <f>IF('CompilationCalcs - Di et al.EOL'!C106=PlasticsUse!$D$93,Conversions!$A$17,IF('CompilationCalcs - Di et al.EOL'!C106=PlasticsUse!$L$93,Conversions!$A$18,Conversions!$A$16))</f>
        <v>Transfer Station</v>
      </c>
      <c r="F106" s="11">
        <f>D106</f>
        <v>0</v>
      </c>
      <c r="G106" t="s">
        <v>6</v>
      </c>
      <c r="H106" s="11">
        <f>IFERROR(INDEX(EndOfLife!$L$64:$P$78,MATCH($A106,EndOfLife!$A$64:$A$78,0),MATCH($G106,EndOfLife!$L$63:$P$63,0))*INDEX(PlasticsUse!$B$27:$L$41,MATCH('CompilationCalcs - Di et al.EOL'!$A106,PlasticsUse!$A$27:$A$41,0),MATCH('CompilationCalcs - Di et al.EOL'!$C106,PlasticsUse!$B$26:$L$26,0)),0)</f>
        <v>0.12909314891513193</v>
      </c>
    </row>
    <row r="107" spans="1:8" x14ac:dyDescent="0.2">
      <c r="A107" t="s">
        <v>8</v>
      </c>
      <c r="B107" t="s">
        <v>207</v>
      </c>
      <c r="C107" t="s">
        <v>99</v>
      </c>
      <c r="D107" s="11"/>
      <c r="E107" s="11" t="str">
        <f>IF('CompilationCalcs - Di et al.EOL'!C107=PlasticsUse!$D$93,Conversions!$A$17,IF('CompilationCalcs - Di et al.EOL'!C107=PlasticsUse!$L$93,Conversions!$A$18,Conversions!$A$16))</f>
        <v>Transfer Station</v>
      </c>
      <c r="F107" s="11">
        <f t="shared" ref="F107:F115" si="2">D107</f>
        <v>0</v>
      </c>
      <c r="G107" t="s">
        <v>6</v>
      </c>
      <c r="H107" s="11">
        <f>IFERROR(INDEX(EndOfLife!$L$64:$P$78,MATCH($A107,EndOfLife!$A$64:$A$78,0),MATCH($G107,EndOfLife!$L$63:$P$63,0))*INDEX(PlasticsUse!$B$27:$L$41,MATCH('CompilationCalcs - Di et al.EOL'!$A107,PlasticsUse!$A$27:$A$41,0),MATCH('CompilationCalcs - Di et al.EOL'!$C107,PlasticsUse!$B$26:$L$26,0)),0)</f>
        <v>0.12909314891513193</v>
      </c>
    </row>
    <row r="108" spans="1:8" x14ac:dyDescent="0.2">
      <c r="A108" t="s">
        <v>8</v>
      </c>
      <c r="B108" t="s">
        <v>207</v>
      </c>
      <c r="C108" t="s">
        <v>69</v>
      </c>
      <c r="D108" s="11"/>
      <c r="E108" s="11" t="str">
        <f>IF('CompilationCalcs - Di et al.EOL'!C108=PlasticsUse!$D$93,Conversions!$A$17,IF('CompilationCalcs - Di et al.EOL'!C108=PlasticsUse!$L$93,Conversions!$A$18,Conversions!$A$16))</f>
        <v>Automotive Shredding Facility</v>
      </c>
      <c r="F108" s="11">
        <f t="shared" si="2"/>
        <v>0</v>
      </c>
      <c r="G108" t="s">
        <v>6</v>
      </c>
      <c r="H108" s="11">
        <f>IFERROR(INDEX(EndOfLife!$L$64:$P$78,MATCH($A108,EndOfLife!$A$64:$A$78,0),MATCH($G108,EndOfLife!$L$63:$P$63,0))*INDEX(PlasticsUse!$B$27:$L$41,MATCH('CompilationCalcs - Di et al.EOL'!$A108,PlasticsUse!$A$27:$A$41,0),MATCH('CompilationCalcs - Di et al.EOL'!$C108,PlasticsUse!$B$26:$L$26,0)),0)</f>
        <v>0.12909314891513193</v>
      </c>
    </row>
    <row r="109" spans="1:8" x14ac:dyDescent="0.2">
      <c r="A109" t="s">
        <v>8</v>
      </c>
      <c r="B109" t="s">
        <v>207</v>
      </c>
      <c r="C109" t="s">
        <v>100</v>
      </c>
      <c r="D109" s="11"/>
      <c r="E109" s="11" t="str">
        <f>IF('CompilationCalcs - Di et al.EOL'!C109=PlasticsUse!$D$93,Conversions!$A$17,IF('CompilationCalcs - Di et al.EOL'!C109=PlasticsUse!$L$93,Conversions!$A$18,Conversions!$A$16))</f>
        <v>Transfer Station</v>
      </c>
      <c r="F109" s="11">
        <f t="shared" si="2"/>
        <v>0</v>
      </c>
      <c r="G109" t="s">
        <v>6</v>
      </c>
      <c r="H109" s="11">
        <f>IFERROR(INDEX(EndOfLife!$L$64:$P$78,MATCH($A109,EndOfLife!$A$64:$A$78,0),MATCH($G109,EndOfLife!$L$63:$P$63,0))*INDEX(PlasticsUse!$B$27:$L$41,MATCH('CompilationCalcs - Di et al.EOL'!$A109,PlasticsUse!$A$27:$A$41,0),MATCH('CompilationCalcs - Di et al.EOL'!$C109,PlasticsUse!$B$26:$L$26,0)),0)</f>
        <v>0.12909314891513193</v>
      </c>
    </row>
    <row r="110" spans="1:8" x14ac:dyDescent="0.2">
      <c r="A110" t="s">
        <v>8</v>
      </c>
      <c r="B110" t="s">
        <v>207</v>
      </c>
      <c r="C110" t="s">
        <v>39</v>
      </c>
      <c r="D110" s="11"/>
      <c r="E110" s="11" t="str">
        <f>IF('CompilationCalcs - Di et al.EOL'!C110=PlasticsUse!$D$93,Conversions!$A$17,IF('CompilationCalcs - Di et al.EOL'!C110=PlasticsUse!$L$93,Conversions!$A$18,Conversions!$A$16))</f>
        <v>Transfer Station</v>
      </c>
      <c r="F110" s="11">
        <f t="shared" si="2"/>
        <v>0</v>
      </c>
      <c r="G110" t="s">
        <v>6</v>
      </c>
      <c r="H110" s="11">
        <f>IFERROR(INDEX(EndOfLife!$L$64:$P$78,MATCH($A110,EndOfLife!$A$64:$A$78,0),MATCH($G110,EndOfLife!$L$63:$P$63,0))*INDEX(PlasticsUse!$B$27:$L$41,MATCH('CompilationCalcs - Di et al.EOL'!$A110,PlasticsUse!$A$27:$A$41,0),MATCH('CompilationCalcs - Di et al.EOL'!$C110,PlasticsUse!$B$26:$L$26,0)),0)</f>
        <v>0.12909314891513193</v>
      </c>
    </row>
    <row r="111" spans="1:8" x14ac:dyDescent="0.2">
      <c r="A111" t="s">
        <v>8</v>
      </c>
      <c r="B111" t="s">
        <v>207</v>
      </c>
      <c r="C111" t="s">
        <v>68</v>
      </c>
      <c r="D111" s="11"/>
      <c r="E111" s="11" t="str">
        <f>IF('CompilationCalcs - Di et al.EOL'!C111=PlasticsUse!$D$93,Conversions!$A$17,IF('CompilationCalcs - Di et al.EOL'!C111=PlasticsUse!$L$93,Conversions!$A$18,Conversions!$A$16))</f>
        <v>Transfer Station</v>
      </c>
      <c r="F111" s="11">
        <f t="shared" si="2"/>
        <v>0</v>
      </c>
      <c r="G111" t="s">
        <v>6</v>
      </c>
      <c r="H111" s="11">
        <f>IFERROR(INDEX(EndOfLife!$L$64:$P$78,MATCH($A111,EndOfLife!$A$64:$A$78,0),MATCH($G111,EndOfLife!$L$63:$P$63,0))*INDEX(PlasticsUse!$B$27:$L$41,MATCH('CompilationCalcs - Di et al.EOL'!$A111,PlasticsUse!$A$27:$A$41,0),MATCH('CompilationCalcs - Di et al.EOL'!$C111,PlasticsUse!$B$26:$L$26,0)),0)</f>
        <v>0.12909314891513193</v>
      </c>
    </row>
    <row r="112" spans="1:8" x14ac:dyDescent="0.2">
      <c r="A112" t="s">
        <v>8</v>
      </c>
      <c r="B112" t="s">
        <v>207</v>
      </c>
      <c r="C112" t="s">
        <v>63</v>
      </c>
      <c r="D112" s="11"/>
      <c r="E112" s="11" t="str">
        <f>IF('CompilationCalcs - Di et al.EOL'!C112=PlasticsUse!$D$93,Conversions!$A$17,IF('CompilationCalcs - Di et al.EOL'!C112=PlasticsUse!$L$93,Conversions!$A$18,Conversions!$A$16))</f>
        <v>Transfer Station</v>
      </c>
      <c r="F112" s="11">
        <f t="shared" si="2"/>
        <v>0</v>
      </c>
      <c r="G112" t="s">
        <v>6</v>
      </c>
      <c r="H112" s="11">
        <f>IFERROR(INDEX(EndOfLife!$L$64:$P$78,MATCH($A112,EndOfLife!$A$64:$A$78,0),MATCH($G112,EndOfLife!$L$63:$P$63,0))*INDEX(PlasticsUse!$B$27:$L$41,MATCH('CompilationCalcs - Di et al.EOL'!$A112,PlasticsUse!$A$27:$A$41,0),MATCH('CompilationCalcs - Di et al.EOL'!$C112,PlasticsUse!$B$26:$L$26,0)),0)</f>
        <v>0.12909314891513193</v>
      </c>
    </row>
    <row r="113" spans="1:8" x14ac:dyDescent="0.2">
      <c r="A113" t="s">
        <v>8</v>
      </c>
      <c r="B113" t="s">
        <v>207</v>
      </c>
      <c r="C113" t="s">
        <v>92</v>
      </c>
      <c r="D113" s="11"/>
      <c r="E113" s="11" t="str">
        <f>IF('CompilationCalcs - Di et al.EOL'!C113=PlasticsUse!$D$93,Conversions!$A$17,IF('CompilationCalcs - Di et al.EOL'!C113=PlasticsUse!$L$93,Conversions!$A$18,Conversions!$A$16))</f>
        <v>Transfer Station</v>
      </c>
      <c r="F113" s="11">
        <f t="shared" si="2"/>
        <v>0</v>
      </c>
      <c r="G113" t="s">
        <v>6</v>
      </c>
      <c r="H113" s="11">
        <f>IFERROR(INDEX(EndOfLife!$L$64:$P$78,MATCH($A113,EndOfLife!$A$64:$A$78,0),MATCH($G113,EndOfLife!$L$63:$P$63,0))*INDEX(PlasticsUse!$B$27:$L$41,MATCH('CompilationCalcs - Di et al.EOL'!$A113,PlasticsUse!$A$27:$A$41,0),MATCH('CompilationCalcs - Di et al.EOL'!$C113,PlasticsUse!$B$26:$L$26,0)),0)</f>
        <v>0.12909314891513193</v>
      </c>
    </row>
    <row r="114" spans="1:8" x14ac:dyDescent="0.2">
      <c r="A114" t="s">
        <v>8</v>
      </c>
      <c r="B114" t="s">
        <v>207</v>
      </c>
      <c r="C114" t="s">
        <v>103</v>
      </c>
      <c r="D114" s="11"/>
      <c r="E114" s="11" t="str">
        <f>IF('CompilationCalcs - Di et al.EOL'!C114=PlasticsUse!$D$93,Conversions!$A$17,IF('CompilationCalcs - Di et al.EOL'!C114=PlasticsUse!$L$93,Conversions!$A$18,Conversions!$A$16))</f>
        <v>Transfer Station</v>
      </c>
      <c r="F114" s="11">
        <f t="shared" si="2"/>
        <v>0</v>
      </c>
      <c r="G114" t="s">
        <v>6</v>
      </c>
      <c r="H114" s="11">
        <f>IFERROR(INDEX(EndOfLife!$L$64:$P$78,MATCH($A114,EndOfLife!$A$64:$A$78,0),MATCH($G114,EndOfLife!$L$63:$P$63,0))*INDEX(PlasticsUse!$B$27:$L$41,MATCH('CompilationCalcs - Di et al.EOL'!$A114,PlasticsUse!$A$27:$A$41,0),MATCH('CompilationCalcs - Di et al.EOL'!$C114,PlasticsUse!$B$26:$L$26,0)),0)</f>
        <v>0</v>
      </c>
    </row>
    <row r="115" spans="1:8" x14ac:dyDescent="0.2">
      <c r="A115" t="s">
        <v>8</v>
      </c>
      <c r="B115" t="s">
        <v>207</v>
      </c>
      <c r="C115" t="s">
        <v>86</v>
      </c>
      <c r="D115" s="11"/>
      <c r="E115" s="11" t="str">
        <f>IF('CompilationCalcs - Di et al.EOL'!C115=PlasticsUse!$D$93,Conversions!$A$17,IF('CompilationCalcs - Di et al.EOL'!C115=PlasticsUse!$L$93,Conversions!$A$18,Conversions!$A$16))</f>
        <v>Transfer Station</v>
      </c>
      <c r="F115" s="11">
        <f t="shared" si="2"/>
        <v>0</v>
      </c>
      <c r="G115" t="s">
        <v>6</v>
      </c>
      <c r="H115" s="11">
        <f>IFERROR(INDEX(EndOfLife!$L$64:$P$78,MATCH($A115,EndOfLife!$A$64:$A$78,0),MATCH($G115,EndOfLife!$L$63:$P$63,0))*INDEX(PlasticsUse!$B$27:$L$41,MATCH('CompilationCalcs - Di et al.EOL'!$A115,PlasticsUse!$A$27:$A$41,0),MATCH('CompilationCalcs - Di et al.EOL'!$C115,PlasticsUse!$B$26:$L$26,0)),0)</f>
        <v>0.12909314891513193</v>
      </c>
    </row>
    <row r="116" spans="1:8" x14ac:dyDescent="0.2">
      <c r="A116" t="s">
        <v>8</v>
      </c>
      <c r="B116" t="s">
        <v>207</v>
      </c>
      <c r="C116" t="s">
        <v>18</v>
      </c>
      <c r="D116" s="11"/>
      <c r="E116" s="11" t="str">
        <f>IF('CompilationCalcs - Di et al.EOL'!C116=PlasticsUse!$D$93,Conversions!$A$17,IF('CompilationCalcs - Di et al.EOL'!C116=PlasticsUse!$L$93,Conversions!$A$18,Conversions!$A$16))</f>
        <v>N/A</v>
      </c>
      <c r="F116" s="11">
        <v>0</v>
      </c>
      <c r="G116" t="s">
        <v>287</v>
      </c>
      <c r="H116" s="11">
        <f>IFERROR(INDEX(EndOfLife!$L$64:$P$78,MATCH($A116,EndOfLife!$A$64:$A$78,0),MATCH($G116,EndOfLife!$L$63:$P$63,0))*INDEX(PlasticsUse!$B$27:$L$41,MATCH('CompilationCalcs - Di et al.EOL'!$A116,PlasticsUse!$A$27:$A$41,0),MATCH('CompilationCalcs - Di et al.EOL'!$C116,PlasticsUse!$B$26:$L$26,0)),0)</f>
        <v>0</v>
      </c>
    </row>
    <row r="117" spans="1:8" ht="17" x14ac:dyDescent="0.2">
      <c r="A117" t="s">
        <v>8</v>
      </c>
      <c r="B117" t="s">
        <v>207</v>
      </c>
      <c r="E117" s="11" t="s">
        <v>925</v>
      </c>
      <c r="F117" s="11">
        <f t="shared" si="1"/>
        <v>0</v>
      </c>
      <c r="G117" s="28" t="s">
        <v>360</v>
      </c>
      <c r="H117" s="11">
        <f>INDEX(EndOfLife!$T$64:$X$78,MATCH('CompilationCalcs - Di et al.EOL'!$A117,EndOfLife!$S$64:$S$78,0),MATCH('CompilationCalcs - Di et al.EOL'!$G117,EndOfLife!$T$63:$X$63,0))</f>
        <v>9.0143106420287389E-2</v>
      </c>
    </row>
    <row r="118" spans="1:8" ht="17" x14ac:dyDescent="0.2">
      <c r="A118" t="s">
        <v>8</v>
      </c>
      <c r="B118" t="s">
        <v>207</v>
      </c>
      <c r="E118" s="11" t="s">
        <v>925</v>
      </c>
      <c r="F118" s="11">
        <f t="shared" si="1"/>
        <v>0</v>
      </c>
      <c r="G118" s="28" t="s">
        <v>361</v>
      </c>
      <c r="H118" s="11">
        <f>INDEX(EndOfLife!$T$64:$X$78,MATCH('CompilationCalcs - Di et al.EOL'!$A118,EndOfLife!$S$64:$S$78,0),MATCH('CompilationCalcs - Di et al.EOL'!$G118,EndOfLife!$T$63:$X$63,0))</f>
        <v>4.5229329942501256E-2</v>
      </c>
    </row>
    <row r="119" spans="1:8" ht="17" x14ac:dyDescent="0.2">
      <c r="A119" t="s">
        <v>8</v>
      </c>
      <c r="B119" t="s">
        <v>207</v>
      </c>
      <c r="E119" s="11" t="s">
        <v>360</v>
      </c>
      <c r="F119" s="11">
        <f t="shared" si="1"/>
        <v>0</v>
      </c>
      <c r="G119" s="28" t="s">
        <v>192</v>
      </c>
      <c r="H119" s="11">
        <f>INDEX(EndOfLife!$T$64:$X$78,MATCH('CompilationCalcs - Di et al.EOL'!$A119,EndOfLife!$S$64:$S$78,0),MATCH('CompilationCalcs - Di et al.EOL'!$G119,EndOfLife!$T$63:$X$63,0))</f>
        <v>9.0143106420287389E-2</v>
      </c>
    </row>
    <row r="120" spans="1:8" ht="17" x14ac:dyDescent="0.2">
      <c r="A120" t="s">
        <v>8</v>
      </c>
      <c r="B120" t="s">
        <v>207</v>
      </c>
      <c r="E120" s="11" t="s">
        <v>925</v>
      </c>
      <c r="F120" s="11">
        <f t="shared" si="1"/>
        <v>0</v>
      </c>
      <c r="G120" s="28" t="s">
        <v>193</v>
      </c>
      <c r="H120" s="11">
        <f>INDEX(EndOfLife!$T$64:$X$78,MATCH('CompilationCalcs - Di et al.EOL'!$A120,EndOfLife!$S$64:$S$78,0),MATCH('CompilationCalcs - Di et al.EOL'!$G120,EndOfLife!$T$63:$X$63,0))</f>
        <v>3.3659036236280008E-3</v>
      </c>
    </row>
    <row r="121" spans="1:8" x14ac:dyDescent="0.2">
      <c r="A121" t="s">
        <v>19</v>
      </c>
      <c r="B121" t="s">
        <v>206</v>
      </c>
      <c r="C121" t="s">
        <v>38</v>
      </c>
      <c r="D121" s="11">
        <f>INDEX(PlasticsUse!$B$48:$L$64,MATCH('CompilationCalcs - Di et al.EOL'!$A121,PlasticsUse!$A$48:$A$64,0),MATCH('CompilationCalcs - Di et al.EOL'!$C121,PlasticsUse!$B$47:$L$47,0))</f>
        <v>0.20617443319212375</v>
      </c>
      <c r="E121" s="11" t="str">
        <f>IF('CompilationCalcs - Di et al.EOL'!C121=PlasticsUse!$D$93,Conversions!$A$17,IF('CompilationCalcs - Di et al.EOL'!C121=PlasticsUse!$L$93,Conversions!$A$18,Conversions!$A$16))</f>
        <v>Transfer Station</v>
      </c>
      <c r="F121" s="11">
        <f>INDEX('In-Use Stocks'!$M$81:$V$97,MATCH('CompilationCalcs - Di et al.EOL'!$A121,'In-Use Stocks'!$L$81:$L$97,0),MATCH('CompilationCalcs - Di et al.EOL'!$C121,'In-Use Stocks'!$M$80:$V$80,0))</f>
        <v>8.1089677402414878E-2</v>
      </c>
      <c r="G121" t="s">
        <v>191</v>
      </c>
      <c r="H121" s="11">
        <f>IFERROR(INDEX(EndOfLife!$L$64:$P$78,MATCH($A121,EndOfLife!$A$64:$A$78,0),MATCH($G121,EndOfLife!$L$63:$P$63,0))*INDEX(PlasticsUse!$B$27:$L$41,MATCH('CompilationCalcs - Di et al.EOL'!$A121,PlasticsUse!$A$27:$A$41,0),MATCH('CompilationCalcs - Di et al.EOL'!$C121,PlasticsUse!$B$26:$L$26,0)),0)</f>
        <v>0</v>
      </c>
    </row>
    <row r="122" spans="1:8" x14ac:dyDescent="0.2">
      <c r="A122" t="s">
        <v>19</v>
      </c>
      <c r="B122" t="s">
        <v>206</v>
      </c>
      <c r="C122" t="s">
        <v>99</v>
      </c>
      <c r="D122" s="11">
        <f>INDEX(PlasticsUse!$B$48:$L$64,MATCH('CompilationCalcs - Di et al.EOL'!$A122,PlasticsUse!$A$48:$A$64,0),MATCH('CompilationCalcs - Di et al.EOL'!$C122,PlasticsUse!$B$47:$L$47,0))</f>
        <v>0.20617443319212375</v>
      </c>
      <c r="E122" s="11" t="str">
        <f>IF('CompilationCalcs - Di et al.EOL'!C122=PlasticsUse!$D$93,Conversions!$A$17,IF('CompilationCalcs - Di et al.EOL'!C122=PlasticsUse!$L$93,Conversions!$A$18,Conversions!$A$16))</f>
        <v>Transfer Station</v>
      </c>
      <c r="F122" s="11">
        <f>INDEX('In-Use Stocks'!$M$81:$V$97,MATCH('CompilationCalcs - Di et al.EOL'!$A122,'In-Use Stocks'!$L$81:$L$97,0),MATCH('CompilationCalcs - Di et al.EOL'!$C122,'In-Use Stocks'!$M$80:$V$80,0))</f>
        <v>0.19730506079873464</v>
      </c>
      <c r="G122" t="s">
        <v>191</v>
      </c>
      <c r="H122" s="11">
        <f>IFERROR(INDEX(EndOfLife!$L$64:$P$78,MATCH($A122,EndOfLife!$A$64:$A$78,0),MATCH($G122,EndOfLife!$L$63:$P$63,0))*INDEX(PlasticsUse!$B$27:$L$41,MATCH('CompilationCalcs - Di et al.EOL'!$A122,PlasticsUse!$A$27:$A$41,0),MATCH('CompilationCalcs - Di et al.EOL'!$C122,PlasticsUse!$B$26:$L$26,0)),0)</f>
        <v>0</v>
      </c>
    </row>
    <row r="123" spans="1:8" x14ac:dyDescent="0.2">
      <c r="A123" t="s">
        <v>19</v>
      </c>
      <c r="B123" t="s">
        <v>206</v>
      </c>
      <c r="C123" t="s">
        <v>69</v>
      </c>
      <c r="D123" s="11">
        <f>INDEX(PlasticsUse!$B$48:$L$64,MATCH('CompilationCalcs - Di et al.EOL'!$A123,PlasticsUse!$A$48:$A$64,0),MATCH('CompilationCalcs - Di et al.EOL'!$C123,PlasticsUse!$B$47:$L$47,0))</f>
        <v>0.20617443319212375</v>
      </c>
      <c r="E123" s="11" t="str">
        <f>IF('CompilationCalcs - Di et al.EOL'!C123=PlasticsUse!$D$93,Conversions!$A$17,IF('CompilationCalcs - Di et al.EOL'!C123=PlasticsUse!$L$93,Conversions!$A$18,Conversions!$A$16))</f>
        <v>Automotive Shredding Facility</v>
      </c>
      <c r="F123" s="11">
        <f>INDEX('In-Use Stocks'!$M$81:$V$97,MATCH('CompilationCalcs - Di et al.EOL'!$A123,'In-Use Stocks'!$L$81:$L$97,0),MATCH('CompilationCalcs - Di et al.EOL'!$C123,'In-Use Stocks'!$M$80:$V$80,0))</f>
        <v>0.21394776948275829</v>
      </c>
      <c r="G123" t="s">
        <v>191</v>
      </c>
      <c r="H123" s="11">
        <f>IFERROR(INDEX(EndOfLife!$L$64:$P$78,MATCH($A123,EndOfLife!$A$64:$A$78,0),MATCH($G123,EndOfLife!$L$63:$P$63,0))*INDEX(PlasticsUse!$B$27:$L$41,MATCH('CompilationCalcs - Di et al.EOL'!$A123,PlasticsUse!$A$27:$A$41,0),MATCH('CompilationCalcs - Di et al.EOL'!$C123,PlasticsUse!$B$26:$L$26,0)),0)</f>
        <v>0</v>
      </c>
    </row>
    <row r="124" spans="1:8" x14ac:dyDescent="0.2">
      <c r="A124" t="s">
        <v>19</v>
      </c>
      <c r="B124" t="s">
        <v>206</v>
      </c>
      <c r="C124" t="s">
        <v>100</v>
      </c>
      <c r="D124" s="11">
        <f>INDEX(PlasticsUse!$B$48:$L$64,MATCH('CompilationCalcs - Di et al.EOL'!$A124,PlasticsUse!$A$48:$A$64,0),MATCH('CompilationCalcs - Di et al.EOL'!$C124,PlasticsUse!$B$47:$L$47,0))</f>
        <v>0.20617443319212375</v>
      </c>
      <c r="E124" s="11" t="str">
        <f>IF('CompilationCalcs - Di et al.EOL'!C124=PlasticsUse!$D$93,Conversions!$A$17,IF('CompilationCalcs - Di et al.EOL'!C124=PlasticsUse!$L$93,Conversions!$A$18,Conversions!$A$16))</f>
        <v>Transfer Station</v>
      </c>
      <c r="F124" s="11">
        <f>INDEX('In-Use Stocks'!$M$81:$V$97,MATCH('CompilationCalcs - Di et al.EOL'!$A124,'In-Use Stocks'!$L$81:$L$97,0),MATCH('CompilationCalcs - Di et al.EOL'!$C124,'In-Use Stocks'!$M$80:$V$80,0))</f>
        <v>0.15706700912454141</v>
      </c>
      <c r="G124" t="s">
        <v>191</v>
      </c>
      <c r="H124" s="11">
        <f>IFERROR(INDEX(EndOfLife!$L$64:$P$78,MATCH($A124,EndOfLife!$A$64:$A$78,0),MATCH($G124,EndOfLife!$L$63:$P$63,0))*INDEX(PlasticsUse!$B$27:$L$41,MATCH('CompilationCalcs - Di et al.EOL'!$A124,PlasticsUse!$A$27:$A$41,0),MATCH('CompilationCalcs - Di et al.EOL'!$C124,PlasticsUse!$B$26:$L$26,0)),0)</f>
        <v>0</v>
      </c>
    </row>
    <row r="125" spans="1:8" x14ac:dyDescent="0.2">
      <c r="A125" t="s">
        <v>19</v>
      </c>
      <c r="B125" t="s">
        <v>206</v>
      </c>
      <c r="C125" t="s">
        <v>39</v>
      </c>
      <c r="D125" s="11">
        <f>INDEX(PlasticsUse!$B$48:$L$64,MATCH('CompilationCalcs - Di et al.EOL'!$A125,PlasticsUse!$A$48:$A$64,0),MATCH('CompilationCalcs - Di et al.EOL'!$C125,PlasticsUse!$B$47:$L$47,0))</f>
        <v>0.20617443319212375</v>
      </c>
      <c r="E125" s="11" t="str">
        <f>IF('CompilationCalcs - Di et al.EOL'!C125=PlasticsUse!$D$93,Conversions!$A$17,IF('CompilationCalcs - Di et al.EOL'!C125=PlasticsUse!$L$93,Conversions!$A$18,Conversions!$A$16))</f>
        <v>Transfer Station</v>
      </c>
      <c r="F125" s="11">
        <f>INDEX('In-Use Stocks'!$M$81:$V$97,MATCH('CompilationCalcs - Di et al.EOL'!$A125,'In-Use Stocks'!$L$81:$L$97,0),MATCH('CompilationCalcs - Di et al.EOL'!$C125,'In-Use Stocks'!$M$80:$V$80,0))-EndOfLife!K67</f>
        <v>0.13053898661517407</v>
      </c>
      <c r="G125" t="s">
        <v>191</v>
      </c>
      <c r="H125" s="11">
        <f>IFERROR(INDEX(EndOfLife!$L$64:$P$78,MATCH($A125,EndOfLife!$A$64:$A$78,0),MATCH($G125,EndOfLife!$L$63:$P$63,0))*INDEX(PlasticsUse!$B$27:$L$41,MATCH('CompilationCalcs - Di et al.EOL'!$A125,PlasticsUse!$A$27:$A$41,0),MATCH('CompilationCalcs - Di et al.EOL'!$C125,PlasticsUse!$B$26:$L$26,0)),0)</f>
        <v>0</v>
      </c>
    </row>
    <row r="126" spans="1:8" x14ac:dyDescent="0.2">
      <c r="A126" t="s">
        <v>19</v>
      </c>
      <c r="B126" t="s">
        <v>206</v>
      </c>
      <c r="C126" t="s">
        <v>68</v>
      </c>
      <c r="D126" s="11">
        <f>INDEX(PlasticsUse!$B$48:$L$64,MATCH('CompilationCalcs - Di et al.EOL'!$A126,PlasticsUse!$A$48:$A$64,0),MATCH('CompilationCalcs - Di et al.EOL'!$C126,PlasticsUse!$B$47:$L$47,0))</f>
        <v>0.20617443319212375</v>
      </c>
      <c r="E126" s="11" t="str">
        <f>IF('CompilationCalcs - Di et al.EOL'!C126=PlasticsUse!$D$93,Conversions!$A$17,IF('CompilationCalcs - Di et al.EOL'!C126=PlasticsUse!$L$93,Conversions!$A$18,Conversions!$A$16))</f>
        <v>Transfer Station</v>
      </c>
      <c r="F126" s="11">
        <f>INDEX('In-Use Stocks'!$M$81:$V$97,MATCH('CompilationCalcs - Di et al.EOL'!$A126,'In-Use Stocks'!$L$81:$L$97,0),MATCH('CompilationCalcs - Di et al.EOL'!$C126,'In-Use Stocks'!$M$80:$V$80,0))</f>
        <v>0.22293618003030377</v>
      </c>
      <c r="G126" t="s">
        <v>333</v>
      </c>
      <c r="H126" s="11">
        <f>IFERROR(INDEX(EndOfLife!$L$64:$P$78,MATCH($A126,EndOfLife!$A$64:$A$78,0),MATCH($G126,EndOfLife!$L$63:$P$63,0))*INDEX(PlasticsUse!$B$27:$L$41,MATCH('CompilationCalcs - Di et al.EOL'!$A126,PlasticsUse!$A$27:$A$41,0),MATCH('CompilationCalcs - Di et al.EOL'!$C126,PlasticsUse!$B$26:$L$26,0)),0)</f>
        <v>5.3461715737079278E-3</v>
      </c>
    </row>
    <row r="127" spans="1:8" x14ac:dyDescent="0.2">
      <c r="A127" t="s">
        <v>19</v>
      </c>
      <c r="B127" t="s">
        <v>206</v>
      </c>
      <c r="C127" t="s">
        <v>63</v>
      </c>
      <c r="D127" s="11">
        <f>INDEX(PlasticsUse!$B$48:$L$64,MATCH('CompilationCalcs - Di et al.EOL'!$A127,PlasticsUse!$A$48:$A$64,0),MATCH('CompilationCalcs - Di et al.EOL'!$C127,PlasticsUse!$B$47:$L$47,0))</f>
        <v>0.20617443319212375</v>
      </c>
      <c r="E127" s="11" t="str">
        <f>IF('CompilationCalcs - Di et al.EOL'!C127=PlasticsUse!$D$93,Conversions!$A$17,IF('CompilationCalcs - Di et al.EOL'!C127=PlasticsUse!$L$93,Conversions!$A$18,Conversions!$A$16))</f>
        <v>Transfer Station</v>
      </c>
      <c r="F127" s="11">
        <f>INDEX('In-Use Stocks'!$M$81:$V$97,MATCH('CompilationCalcs - Di et al.EOL'!$A127,'In-Use Stocks'!$L$81:$L$97,0),MATCH('CompilationCalcs - Di et al.EOL'!$C127,'In-Use Stocks'!$M$80:$V$80,0))</f>
        <v>0.20400517790002873</v>
      </c>
      <c r="G127" t="s">
        <v>191</v>
      </c>
      <c r="H127" s="11">
        <f>IFERROR(INDEX(EndOfLife!$L$64:$P$78,MATCH($A127,EndOfLife!$A$64:$A$78,0),MATCH($G127,EndOfLife!$L$63:$P$63,0))*INDEX(PlasticsUse!$B$27:$L$41,MATCH('CompilationCalcs - Di et al.EOL'!$A127,PlasticsUse!$A$27:$A$41,0),MATCH('CompilationCalcs - Di et al.EOL'!$C127,PlasticsUse!$B$26:$L$26,0)),0)</f>
        <v>0</v>
      </c>
    </row>
    <row r="128" spans="1:8" x14ac:dyDescent="0.2">
      <c r="A128" t="s">
        <v>19</v>
      </c>
      <c r="B128" t="s">
        <v>206</v>
      </c>
      <c r="C128" t="s">
        <v>92</v>
      </c>
      <c r="D128" s="11">
        <f>INDEX(PlasticsUse!$B$48:$L$64,MATCH('CompilationCalcs - Di et al.EOL'!$A128,PlasticsUse!$A$48:$A$64,0),MATCH('CompilationCalcs - Di et al.EOL'!$C128,PlasticsUse!$B$47:$L$47,0))</f>
        <v>0.20617443319212375</v>
      </c>
      <c r="E128" s="11" t="str">
        <f>IF('CompilationCalcs - Di et al.EOL'!C128=PlasticsUse!$D$93,Conversions!$A$17,IF('CompilationCalcs - Di et al.EOL'!C128=PlasticsUse!$L$93,Conversions!$A$18,Conversions!$A$16))</f>
        <v>Transfer Station</v>
      </c>
      <c r="F128" s="11">
        <f>INDEX('In-Use Stocks'!$M$81:$V$97,MATCH('CompilationCalcs - Di et al.EOL'!$A128,'In-Use Stocks'!$L$81:$L$97,0),MATCH('CompilationCalcs - Di et al.EOL'!$C128,'In-Use Stocks'!$M$80:$V$80,0))</f>
        <v>0.17650526558722152</v>
      </c>
      <c r="G128" t="s">
        <v>191</v>
      </c>
      <c r="H128" s="11">
        <f>IFERROR(INDEX(EndOfLife!$L$64:$P$78,MATCH($A128,EndOfLife!$A$64:$A$78,0),MATCH($G128,EndOfLife!$L$63:$P$63,0))*INDEX(PlasticsUse!$B$27:$L$41,MATCH('CompilationCalcs - Di et al.EOL'!$A128,PlasticsUse!$A$27:$A$41,0),MATCH('CompilationCalcs - Di et al.EOL'!$C128,PlasticsUse!$B$26:$L$26,0)),0)</f>
        <v>0</v>
      </c>
    </row>
    <row r="129" spans="1:8" x14ac:dyDescent="0.2">
      <c r="A129" t="s">
        <v>19</v>
      </c>
      <c r="B129" t="s">
        <v>206</v>
      </c>
      <c r="C129" t="s">
        <v>103</v>
      </c>
      <c r="D129" s="11">
        <f>INDEX(PlasticsUse!$B$48:$L$64,MATCH('CompilationCalcs - Di et al.EOL'!$A129,PlasticsUse!$A$48:$A$64,0),MATCH('CompilationCalcs - Di et al.EOL'!$C129,PlasticsUse!$B$47:$L$47,0))</f>
        <v>0</v>
      </c>
      <c r="E129" s="11" t="str">
        <f>IF('CompilationCalcs - Di et al.EOL'!C129=PlasticsUse!$D$93,Conversions!$A$17,IF('CompilationCalcs - Di et al.EOL'!C129=PlasticsUse!$L$93,Conversions!$A$18,Conversions!$A$16))</f>
        <v>Transfer Station</v>
      </c>
      <c r="F129" s="11">
        <f>INDEX('In-Use Stocks'!$M$81:$V$97,MATCH('CompilationCalcs - Di et al.EOL'!$A129,'In-Use Stocks'!$L$81:$L$97,0),MATCH('CompilationCalcs - Di et al.EOL'!$C129,'In-Use Stocks'!$M$80:$V$80,0))</f>
        <v>0</v>
      </c>
      <c r="G129" t="s">
        <v>191</v>
      </c>
      <c r="H129" s="11">
        <f>IFERROR(INDEX(EndOfLife!$L$64:$P$78,MATCH($A129,EndOfLife!$A$64:$A$78,0),MATCH($G129,EndOfLife!$L$63:$P$63,0))*INDEX(PlasticsUse!$B$27:$L$41,MATCH('CompilationCalcs - Di et al.EOL'!$A129,PlasticsUse!$A$27:$A$41,0),MATCH('CompilationCalcs - Di et al.EOL'!$C129,PlasticsUse!$B$26:$L$26,0)),0)</f>
        <v>0</v>
      </c>
    </row>
    <row r="130" spans="1:8" x14ac:dyDescent="0.2">
      <c r="A130" t="s">
        <v>19</v>
      </c>
      <c r="B130" t="s">
        <v>206</v>
      </c>
      <c r="C130" t="s">
        <v>86</v>
      </c>
      <c r="D130" s="11">
        <f>INDEX(PlasticsUse!$B$48:$L$64,MATCH('CompilationCalcs - Di et al.EOL'!$A130,PlasticsUse!$A$48:$A$64,0),MATCH('CompilationCalcs - Di et al.EOL'!$C130,PlasticsUse!$B$47:$L$47,0))</f>
        <v>0.20617443319212375</v>
      </c>
      <c r="E130" s="11" t="str">
        <f>IF('CompilationCalcs - Di et al.EOL'!C130=PlasticsUse!$D$93,Conversions!$A$17,IF('CompilationCalcs - Di et al.EOL'!C130=PlasticsUse!$L$93,Conversions!$A$18,Conversions!$A$16))</f>
        <v>Transfer Station</v>
      </c>
      <c r="F130" s="11">
        <f>INDEX('In-Use Stocks'!$M$81:$V$97,MATCH('CompilationCalcs - Di et al.EOL'!$A130,'In-Use Stocks'!$L$81:$L$97,0),MATCH('CompilationCalcs - Di et al.EOL'!$C130,'In-Use Stocks'!$M$80:$V$80,0))</f>
        <v>0.17650526558722152</v>
      </c>
      <c r="G130" t="s">
        <v>191</v>
      </c>
      <c r="H130" s="11">
        <f>IFERROR(INDEX(EndOfLife!$L$64:$P$78,MATCH($A130,EndOfLife!$A$64:$A$78,0),MATCH($G130,EndOfLife!$L$63:$P$63,0))*INDEX(PlasticsUse!$B$27:$L$41,MATCH('CompilationCalcs - Di et al.EOL'!$A130,PlasticsUse!$A$27:$A$41,0),MATCH('CompilationCalcs - Di et al.EOL'!$C130,PlasticsUse!$B$26:$L$26,0)),0)</f>
        <v>0</v>
      </c>
    </row>
    <row r="131" spans="1:8" x14ac:dyDescent="0.2">
      <c r="A131" t="s">
        <v>19</v>
      </c>
      <c r="B131" t="s">
        <v>206</v>
      </c>
      <c r="C131" t="s">
        <v>18</v>
      </c>
      <c r="D131" s="11">
        <f>INDEX(PlasticsUse!$B$48:$L$64,MATCH('CompilationCalcs - Di et al.EOL'!$A131,PlasticsUse!$A$48:$A$64,0),MATCH('CompilationCalcs - Di et al.EOL'!$C131,PlasticsUse!$B$47:$L$47,0))</f>
        <v>0.20617443319212375</v>
      </c>
      <c r="E131" s="11" t="str">
        <f>IF('CompilationCalcs - Di et al.EOL'!C131=PlasticsUse!$D$93,Conversions!$A$17,IF('CompilationCalcs - Di et al.EOL'!C131=PlasticsUse!$L$93,Conversions!$A$18,Conversions!$A$16))</f>
        <v>N/A</v>
      </c>
      <c r="F131" s="11">
        <v>0</v>
      </c>
      <c r="G131" t="s">
        <v>287</v>
      </c>
      <c r="H131" s="11">
        <f>IFERROR(INDEX(EndOfLife!$L$64:$P$78,MATCH($A131,EndOfLife!$A$64:$A$78,0),MATCH($G131,EndOfLife!$L$63:$P$63,0))*INDEX(PlasticsUse!$B$27:$L$41,MATCH('CompilationCalcs - Di et al.EOL'!$A131,PlasticsUse!$A$27:$A$41,0),MATCH('CompilationCalcs - Di et al.EOL'!$C131,PlasticsUse!$B$26:$L$26,0)),0)</f>
        <v>0</v>
      </c>
    </row>
    <row r="132" spans="1:8" x14ac:dyDescent="0.2">
      <c r="A132" t="s">
        <v>19</v>
      </c>
      <c r="B132" t="s">
        <v>207</v>
      </c>
      <c r="C132" t="s">
        <v>38</v>
      </c>
      <c r="D132" s="11"/>
      <c r="E132" s="11" t="str">
        <f>IF('CompilationCalcs - Di et al.EOL'!C132=PlasticsUse!$D$93,Conversions!$A$17,IF('CompilationCalcs - Di et al.EOL'!C132=PlasticsUse!$L$93,Conversions!$A$18,Conversions!$A$16))</f>
        <v>Transfer Station</v>
      </c>
      <c r="F132" s="11">
        <f t="shared" si="1"/>
        <v>0</v>
      </c>
      <c r="G132" t="s">
        <v>5</v>
      </c>
      <c r="H132" s="11">
        <f>IFERROR(INDEX(EndOfLife!$L$64:$P$78,MATCH($A132,EndOfLife!$A$64:$A$78,0),MATCH($G132,EndOfLife!$L$63:$P$63,0))*INDEX(PlasticsUse!$B$27:$L$41,MATCH('CompilationCalcs - Di et al.EOL'!$A132,PlasticsUse!$A$27:$A$41,0),MATCH('CompilationCalcs - Di et al.EOL'!$C132,PlasticsUse!$B$26:$L$26,0)),0)</f>
        <v>2.4443644889673374E-2</v>
      </c>
    </row>
    <row r="133" spans="1:8" x14ac:dyDescent="0.2">
      <c r="A133" t="s">
        <v>19</v>
      </c>
      <c r="B133" t="s">
        <v>207</v>
      </c>
      <c r="C133" t="s">
        <v>99</v>
      </c>
      <c r="D133" s="11"/>
      <c r="E133" s="11" t="str">
        <f>IF('CompilationCalcs - Di et al.EOL'!C133=PlasticsUse!$D$93,Conversions!$A$17,IF('CompilationCalcs - Di et al.EOL'!C133=PlasticsUse!$L$93,Conversions!$A$18,Conversions!$A$16))</f>
        <v>Transfer Station</v>
      </c>
      <c r="F133" s="11">
        <f t="shared" si="1"/>
        <v>0</v>
      </c>
      <c r="G133" t="s">
        <v>5</v>
      </c>
      <c r="H133" s="11">
        <f>IFERROR(INDEX(EndOfLife!$L$64:$P$78,MATCH($A133,EndOfLife!$A$64:$A$78,0),MATCH($G133,EndOfLife!$L$63:$P$63,0))*INDEX(PlasticsUse!$B$27:$L$41,MATCH('CompilationCalcs - Di et al.EOL'!$A133,PlasticsUse!$A$27:$A$41,0),MATCH('CompilationCalcs - Di et al.EOL'!$C133,PlasticsUse!$B$26:$L$26,0)),0)</f>
        <v>2.4443644889673374E-2</v>
      </c>
    </row>
    <row r="134" spans="1:8" x14ac:dyDescent="0.2">
      <c r="A134" t="s">
        <v>19</v>
      </c>
      <c r="B134" t="s">
        <v>207</v>
      </c>
      <c r="C134" t="s">
        <v>69</v>
      </c>
      <c r="D134" s="11"/>
      <c r="E134" s="11" t="str">
        <f>IF('CompilationCalcs - Di et al.EOL'!C134=PlasticsUse!$D$93,Conversions!$A$17,IF('CompilationCalcs - Di et al.EOL'!C134=PlasticsUse!$L$93,Conversions!$A$18,Conversions!$A$16))</f>
        <v>Automotive Shredding Facility</v>
      </c>
      <c r="F134" s="11">
        <f t="shared" si="1"/>
        <v>0</v>
      </c>
      <c r="G134" t="s">
        <v>5</v>
      </c>
      <c r="H134" s="11">
        <f>IFERROR(INDEX(EndOfLife!$L$64:$P$78,MATCH($A134,EndOfLife!$A$64:$A$78,0),MATCH($G134,EndOfLife!$L$63:$P$63,0))*INDEX(PlasticsUse!$B$27:$L$41,MATCH('CompilationCalcs - Di et al.EOL'!$A134,PlasticsUse!$A$27:$A$41,0),MATCH('CompilationCalcs - Di et al.EOL'!$C134,PlasticsUse!$B$26:$L$26,0)),0)</f>
        <v>2.4443644889673374E-2</v>
      </c>
    </row>
    <row r="135" spans="1:8" x14ac:dyDescent="0.2">
      <c r="A135" t="s">
        <v>19</v>
      </c>
      <c r="B135" t="s">
        <v>207</v>
      </c>
      <c r="C135" t="s">
        <v>100</v>
      </c>
      <c r="D135" s="11"/>
      <c r="E135" s="11" t="str">
        <f>IF('CompilationCalcs - Di et al.EOL'!C135=PlasticsUse!$D$93,Conversions!$A$17,IF('CompilationCalcs - Di et al.EOL'!C135=PlasticsUse!$L$93,Conversions!$A$18,Conversions!$A$16))</f>
        <v>Transfer Station</v>
      </c>
      <c r="F135" s="11">
        <f t="shared" si="1"/>
        <v>0</v>
      </c>
      <c r="G135" t="s">
        <v>5</v>
      </c>
      <c r="H135" s="11">
        <f>IFERROR(INDEX(EndOfLife!$L$64:$P$78,MATCH($A135,EndOfLife!$A$64:$A$78,0),MATCH($G135,EndOfLife!$L$63:$P$63,0))*INDEX(PlasticsUse!$B$27:$L$41,MATCH('CompilationCalcs - Di et al.EOL'!$A135,PlasticsUse!$A$27:$A$41,0),MATCH('CompilationCalcs - Di et al.EOL'!$C135,PlasticsUse!$B$26:$L$26,0)),0)</f>
        <v>2.4443644889673374E-2</v>
      </c>
    </row>
    <row r="136" spans="1:8" x14ac:dyDescent="0.2">
      <c r="A136" t="s">
        <v>19</v>
      </c>
      <c r="B136" t="s">
        <v>207</v>
      </c>
      <c r="C136" t="s">
        <v>39</v>
      </c>
      <c r="D136" s="11"/>
      <c r="E136" s="11" t="str">
        <f>IF('CompilationCalcs - Di et al.EOL'!C136=PlasticsUse!$D$93,Conversions!$A$17,IF('CompilationCalcs - Di et al.EOL'!C136=PlasticsUse!$L$93,Conversions!$A$18,Conversions!$A$16))</f>
        <v>Transfer Station</v>
      </c>
      <c r="F136" s="11">
        <f t="shared" si="1"/>
        <v>0</v>
      </c>
      <c r="G136" t="s">
        <v>5</v>
      </c>
      <c r="H136" s="11">
        <f>IFERROR(INDEX(EndOfLife!$L$64:$P$78,MATCH($A136,EndOfLife!$A$64:$A$78,0),MATCH($G136,EndOfLife!$L$63:$P$63,0))*INDEX(PlasticsUse!$B$27:$L$41,MATCH('CompilationCalcs - Di et al.EOL'!$A136,PlasticsUse!$A$27:$A$41,0),MATCH('CompilationCalcs - Di et al.EOL'!$C136,PlasticsUse!$B$26:$L$26,0)),0)</f>
        <v>2.4443644889673374E-2</v>
      </c>
    </row>
    <row r="137" spans="1:8" x14ac:dyDescent="0.2">
      <c r="A137" t="s">
        <v>19</v>
      </c>
      <c r="B137" t="s">
        <v>207</v>
      </c>
      <c r="C137" t="s">
        <v>63</v>
      </c>
      <c r="D137" s="11"/>
      <c r="E137" s="11" t="str">
        <f>IF('CompilationCalcs - Di et al.EOL'!C137=PlasticsUse!$D$93,Conversions!$A$17,IF('CompilationCalcs - Di et al.EOL'!C137=PlasticsUse!$L$93,Conversions!$A$18,Conversions!$A$16))</f>
        <v>Transfer Station</v>
      </c>
      <c r="F137" s="11">
        <f t="shared" si="1"/>
        <v>0</v>
      </c>
      <c r="G137" t="s">
        <v>5</v>
      </c>
      <c r="H137" s="11">
        <f>IFERROR(INDEX(EndOfLife!$L$64:$P$78,MATCH($A137,EndOfLife!$A$64:$A$78,0),MATCH($G137,EndOfLife!$L$63:$P$63,0))*INDEX(PlasticsUse!$B$27:$L$41,MATCH('CompilationCalcs - Di et al.EOL'!$A137,PlasticsUse!$A$27:$A$41,0),MATCH('CompilationCalcs - Di et al.EOL'!$C137,PlasticsUse!$B$26:$L$26,0)),0)</f>
        <v>2.4443644889673374E-2</v>
      </c>
    </row>
    <row r="138" spans="1:8" x14ac:dyDescent="0.2">
      <c r="A138" t="s">
        <v>19</v>
      </c>
      <c r="B138" t="s">
        <v>207</v>
      </c>
      <c r="C138" t="s">
        <v>92</v>
      </c>
      <c r="D138" s="11"/>
      <c r="E138" s="11" t="str">
        <f>IF('CompilationCalcs - Di et al.EOL'!C138=PlasticsUse!$D$93,Conversions!$A$17,IF('CompilationCalcs - Di et al.EOL'!C138=PlasticsUse!$L$93,Conversions!$A$18,Conversions!$A$16))</f>
        <v>Transfer Station</v>
      </c>
      <c r="F138" s="11">
        <f t="shared" si="1"/>
        <v>0</v>
      </c>
      <c r="G138" t="s">
        <v>5</v>
      </c>
      <c r="H138" s="11">
        <f>IFERROR(INDEX(EndOfLife!$L$64:$P$78,MATCH($A138,EndOfLife!$A$64:$A$78,0),MATCH($G138,EndOfLife!$L$63:$P$63,0))*INDEX(PlasticsUse!$B$27:$L$41,MATCH('CompilationCalcs - Di et al.EOL'!$A138,PlasticsUse!$A$27:$A$41,0),MATCH('CompilationCalcs - Di et al.EOL'!$C138,PlasticsUse!$B$26:$L$26,0)),0)</f>
        <v>2.4443644889673374E-2</v>
      </c>
    </row>
    <row r="139" spans="1:8" x14ac:dyDescent="0.2">
      <c r="A139" t="s">
        <v>19</v>
      </c>
      <c r="B139" t="s">
        <v>207</v>
      </c>
      <c r="C139" t="s">
        <v>103</v>
      </c>
      <c r="D139" s="11"/>
      <c r="E139" s="11" t="str">
        <f>IF('CompilationCalcs - Di et al.EOL'!C139=PlasticsUse!$D$93,Conversions!$A$17,IF('CompilationCalcs - Di et al.EOL'!C139=PlasticsUse!$L$93,Conversions!$A$18,Conversions!$A$16))</f>
        <v>Transfer Station</v>
      </c>
      <c r="F139" s="11">
        <f t="shared" si="1"/>
        <v>0</v>
      </c>
      <c r="G139" t="s">
        <v>5</v>
      </c>
      <c r="H139" s="11">
        <f>IFERROR(INDEX(EndOfLife!$L$64:$P$78,MATCH($A139,EndOfLife!$A$64:$A$78,0),MATCH($G139,EndOfLife!$L$63:$P$63,0))*INDEX(PlasticsUse!$B$27:$L$41,MATCH('CompilationCalcs - Di et al.EOL'!$A139,PlasticsUse!$A$27:$A$41,0),MATCH('CompilationCalcs - Di et al.EOL'!$C139,PlasticsUse!$B$26:$L$26,0)),0)</f>
        <v>0</v>
      </c>
    </row>
    <row r="140" spans="1:8" x14ac:dyDescent="0.2">
      <c r="A140" t="s">
        <v>19</v>
      </c>
      <c r="B140" t="s">
        <v>207</v>
      </c>
      <c r="C140" t="s">
        <v>86</v>
      </c>
      <c r="D140" s="11"/>
      <c r="E140" s="11" t="str">
        <f>IF('CompilationCalcs - Di et al.EOL'!C140=PlasticsUse!$D$93,Conversions!$A$17,IF('CompilationCalcs - Di et al.EOL'!C140=PlasticsUse!$L$93,Conversions!$A$18,Conversions!$A$16))</f>
        <v>Transfer Station</v>
      </c>
      <c r="F140" s="11">
        <f t="shared" si="1"/>
        <v>0</v>
      </c>
      <c r="G140" t="s">
        <v>5</v>
      </c>
      <c r="H140" s="11">
        <f>IFERROR(INDEX(EndOfLife!$L$64:$P$78,MATCH($A140,EndOfLife!$A$64:$A$78,0),MATCH($G140,EndOfLife!$L$63:$P$63,0))*INDEX(PlasticsUse!$B$27:$L$41,MATCH('CompilationCalcs - Di et al.EOL'!$A140,PlasticsUse!$A$27:$A$41,0),MATCH('CompilationCalcs - Di et al.EOL'!$C140,PlasticsUse!$B$26:$L$26,0)),0)</f>
        <v>2.4443644889673374E-2</v>
      </c>
    </row>
    <row r="141" spans="1:8" x14ac:dyDescent="0.2">
      <c r="A141" t="s">
        <v>19</v>
      </c>
      <c r="B141" t="s">
        <v>207</v>
      </c>
      <c r="C141" t="s">
        <v>18</v>
      </c>
      <c r="D141" s="11"/>
      <c r="E141" s="11" t="str">
        <f>IF('CompilationCalcs - Di et al.EOL'!C141=PlasticsUse!$D$93,Conversions!$A$17,IF('CompilationCalcs - Di et al.EOL'!C141=PlasticsUse!$L$93,Conversions!$A$18,Conversions!$A$16))</f>
        <v>N/A</v>
      </c>
      <c r="F141" s="11">
        <f t="shared" si="1"/>
        <v>0</v>
      </c>
      <c r="G141" t="s">
        <v>287</v>
      </c>
      <c r="H141" s="11">
        <f>IFERROR(INDEX(EndOfLife!$L$64:$P$78,MATCH($A141,EndOfLife!$A$64:$A$78,0),MATCH($G141,EndOfLife!$L$63:$P$63,0))*INDEX(PlasticsUse!$B$27:$L$41,MATCH('CompilationCalcs - Di et al.EOL'!$A141,PlasticsUse!$A$27:$A$41,0),MATCH('CompilationCalcs - Di et al.EOL'!$C141,PlasticsUse!$B$26:$L$26,0)),0)</f>
        <v>0</v>
      </c>
    </row>
    <row r="142" spans="1:8" x14ac:dyDescent="0.2">
      <c r="A142" t="s">
        <v>19</v>
      </c>
      <c r="B142" t="s">
        <v>207</v>
      </c>
      <c r="C142" t="s">
        <v>38</v>
      </c>
      <c r="D142" s="11"/>
      <c r="E142" s="11" t="str">
        <f>IF('CompilationCalcs - Di et al.EOL'!C142=PlasticsUse!$D$93,Conversions!$A$17,IF('CompilationCalcs - Di et al.EOL'!C142=PlasticsUse!$L$93,Conversions!$A$18,Conversions!$A$16))</f>
        <v>Transfer Station</v>
      </c>
      <c r="F142" s="11">
        <f t="shared" si="1"/>
        <v>0</v>
      </c>
      <c r="G142" t="s">
        <v>6</v>
      </c>
      <c r="H142" s="11">
        <f>IFERROR(INDEX(EndOfLife!$L$64:$P$78,MATCH($A142,EndOfLife!$A$64:$A$78,0),MATCH($G142,EndOfLife!$L$63:$P$63,0))*INDEX(PlasticsUse!$B$27:$L$41,MATCH('CompilationCalcs - Di et al.EOL'!$A142,PlasticsUse!$A$27:$A$41,0),MATCH('CompilationCalcs - Di et al.EOL'!$C142,PlasticsUse!$B$26:$L$26,0)),0)</f>
        <v>0.11201673182923143</v>
      </c>
    </row>
    <row r="143" spans="1:8" x14ac:dyDescent="0.2">
      <c r="A143" t="s">
        <v>19</v>
      </c>
      <c r="B143" t="s">
        <v>207</v>
      </c>
      <c r="C143" t="s">
        <v>99</v>
      </c>
      <c r="D143" s="11"/>
      <c r="E143" s="11" t="str">
        <f>IF('CompilationCalcs - Di et al.EOL'!C143=PlasticsUse!$D$93,Conversions!$A$17,IF('CompilationCalcs - Di et al.EOL'!C143=PlasticsUse!$L$93,Conversions!$A$18,Conversions!$A$16))</f>
        <v>Transfer Station</v>
      </c>
      <c r="F143" s="11">
        <f t="shared" ref="F143:F210" si="3">D143</f>
        <v>0</v>
      </c>
      <c r="G143" t="s">
        <v>6</v>
      </c>
      <c r="H143" s="11">
        <f>IFERROR(INDEX(EndOfLife!$L$64:$P$78,MATCH($A143,EndOfLife!$A$64:$A$78,0),MATCH($G143,EndOfLife!$L$63:$P$63,0))*INDEX(PlasticsUse!$B$27:$L$41,MATCH('CompilationCalcs - Di et al.EOL'!$A143,PlasticsUse!$A$27:$A$41,0),MATCH('CompilationCalcs - Di et al.EOL'!$C143,PlasticsUse!$B$26:$L$26,0)),0)</f>
        <v>0.11201673182923143</v>
      </c>
    </row>
    <row r="144" spans="1:8" x14ac:dyDescent="0.2">
      <c r="A144" t="s">
        <v>19</v>
      </c>
      <c r="B144" t="s">
        <v>207</v>
      </c>
      <c r="C144" t="s">
        <v>69</v>
      </c>
      <c r="D144" s="11"/>
      <c r="E144" s="11" t="str">
        <f>IF('CompilationCalcs - Di et al.EOL'!C144=PlasticsUse!$D$93,Conversions!$A$17,IF('CompilationCalcs - Di et al.EOL'!C144=PlasticsUse!$L$93,Conversions!$A$18,Conversions!$A$16))</f>
        <v>Automotive Shredding Facility</v>
      </c>
      <c r="F144" s="11">
        <f t="shared" si="3"/>
        <v>0</v>
      </c>
      <c r="G144" t="s">
        <v>6</v>
      </c>
      <c r="H144" s="11">
        <f>IFERROR(INDEX(EndOfLife!$L$64:$P$78,MATCH($A144,EndOfLife!$A$64:$A$78,0),MATCH($G144,EndOfLife!$L$63:$P$63,0))*INDEX(PlasticsUse!$B$27:$L$41,MATCH('CompilationCalcs - Di et al.EOL'!$A144,PlasticsUse!$A$27:$A$41,0),MATCH('CompilationCalcs - Di et al.EOL'!$C144,PlasticsUse!$B$26:$L$26,0)),0)</f>
        <v>0.11201673182923143</v>
      </c>
    </row>
    <row r="145" spans="1:8" x14ac:dyDescent="0.2">
      <c r="A145" t="s">
        <v>19</v>
      </c>
      <c r="B145" t="s">
        <v>207</v>
      </c>
      <c r="C145" t="s">
        <v>100</v>
      </c>
      <c r="D145" s="11"/>
      <c r="E145" s="11" t="str">
        <f>IF('CompilationCalcs - Di et al.EOL'!C145=PlasticsUse!$D$93,Conversions!$A$17,IF('CompilationCalcs - Di et al.EOL'!C145=PlasticsUse!$L$93,Conversions!$A$18,Conversions!$A$16))</f>
        <v>Transfer Station</v>
      </c>
      <c r="F145" s="11">
        <f t="shared" si="3"/>
        <v>0</v>
      </c>
      <c r="G145" t="s">
        <v>6</v>
      </c>
      <c r="H145" s="11">
        <f>IFERROR(INDEX(EndOfLife!$L$64:$P$78,MATCH($A145,EndOfLife!$A$64:$A$78,0),MATCH($G145,EndOfLife!$L$63:$P$63,0))*INDEX(PlasticsUse!$B$27:$L$41,MATCH('CompilationCalcs - Di et al.EOL'!$A145,PlasticsUse!$A$27:$A$41,0),MATCH('CompilationCalcs - Di et al.EOL'!$C145,PlasticsUse!$B$26:$L$26,0)),0)</f>
        <v>0.11201673182923143</v>
      </c>
    </row>
    <row r="146" spans="1:8" x14ac:dyDescent="0.2">
      <c r="A146" t="s">
        <v>19</v>
      </c>
      <c r="B146" t="s">
        <v>207</v>
      </c>
      <c r="C146" t="s">
        <v>39</v>
      </c>
      <c r="D146" s="11"/>
      <c r="E146" s="11" t="str">
        <f>IF('CompilationCalcs - Di et al.EOL'!C146=PlasticsUse!$D$93,Conversions!$A$17,IF('CompilationCalcs - Di et al.EOL'!C146=PlasticsUse!$L$93,Conversions!$A$18,Conversions!$A$16))</f>
        <v>Transfer Station</v>
      </c>
      <c r="F146" s="11">
        <f t="shared" si="3"/>
        <v>0</v>
      </c>
      <c r="G146" t="s">
        <v>6</v>
      </c>
      <c r="H146" s="11">
        <f>IFERROR(INDEX(EndOfLife!$L$64:$P$78,MATCH($A146,EndOfLife!$A$64:$A$78,0),MATCH($G146,EndOfLife!$L$63:$P$63,0))*INDEX(PlasticsUse!$B$27:$L$41,MATCH('CompilationCalcs - Di et al.EOL'!$A146,PlasticsUse!$A$27:$A$41,0),MATCH('CompilationCalcs - Di et al.EOL'!$C146,PlasticsUse!$B$26:$L$26,0)),0)</f>
        <v>0.11201673182923143</v>
      </c>
    </row>
    <row r="147" spans="1:8" x14ac:dyDescent="0.2">
      <c r="A147" t="s">
        <v>19</v>
      </c>
      <c r="B147" t="s">
        <v>207</v>
      </c>
      <c r="C147" t="s">
        <v>68</v>
      </c>
      <c r="D147" s="11"/>
      <c r="E147" s="11" t="str">
        <f>IF('CompilationCalcs - Di et al.EOL'!C147=PlasticsUse!$D$93,Conversions!$A$17,IF('CompilationCalcs - Di et al.EOL'!C147=PlasticsUse!$L$93,Conversions!$A$18,Conversions!$A$16))</f>
        <v>Transfer Station</v>
      </c>
      <c r="F147" s="11">
        <f t="shared" si="3"/>
        <v>0</v>
      </c>
      <c r="G147" t="s">
        <v>6</v>
      </c>
      <c r="H147" s="11">
        <f>IFERROR(INDEX(EndOfLife!$L$64:$P$78,MATCH($A147,EndOfLife!$A$64:$A$78,0),MATCH($G147,EndOfLife!$L$63:$P$63,0))*INDEX(PlasticsUse!$B$27:$L$41,MATCH('CompilationCalcs - Di et al.EOL'!$A147,PlasticsUse!$A$27:$A$41,0),MATCH('CompilationCalcs - Di et al.EOL'!$C147,PlasticsUse!$B$26:$L$26,0)),0)</f>
        <v>0.11201673182923143</v>
      </c>
    </row>
    <row r="148" spans="1:8" x14ac:dyDescent="0.2">
      <c r="A148" t="s">
        <v>19</v>
      </c>
      <c r="B148" t="s">
        <v>207</v>
      </c>
      <c r="C148" t="s">
        <v>63</v>
      </c>
      <c r="D148" s="11"/>
      <c r="E148" s="11" t="str">
        <f>IF('CompilationCalcs - Di et al.EOL'!C148=PlasticsUse!$D$93,Conversions!$A$17,IF('CompilationCalcs - Di et al.EOL'!C148=PlasticsUse!$L$93,Conversions!$A$18,Conversions!$A$16))</f>
        <v>Transfer Station</v>
      </c>
      <c r="F148" s="11">
        <f t="shared" si="3"/>
        <v>0</v>
      </c>
      <c r="G148" t="s">
        <v>6</v>
      </c>
      <c r="H148" s="11">
        <f>IFERROR(INDEX(EndOfLife!$L$64:$P$78,MATCH($A148,EndOfLife!$A$64:$A$78,0),MATCH($G148,EndOfLife!$L$63:$P$63,0))*INDEX(PlasticsUse!$B$27:$L$41,MATCH('CompilationCalcs - Di et al.EOL'!$A148,PlasticsUse!$A$27:$A$41,0),MATCH('CompilationCalcs - Di et al.EOL'!$C148,PlasticsUse!$B$26:$L$26,0)),0)</f>
        <v>0.11201673182923143</v>
      </c>
    </row>
    <row r="149" spans="1:8" x14ac:dyDescent="0.2">
      <c r="A149" t="s">
        <v>19</v>
      </c>
      <c r="B149" t="s">
        <v>207</v>
      </c>
      <c r="C149" t="s">
        <v>92</v>
      </c>
      <c r="D149" s="11"/>
      <c r="E149" s="11" t="str">
        <f>IF('CompilationCalcs - Di et al.EOL'!C149=PlasticsUse!$D$93,Conversions!$A$17,IF('CompilationCalcs - Di et al.EOL'!C149=PlasticsUse!$L$93,Conversions!$A$18,Conversions!$A$16))</f>
        <v>Transfer Station</v>
      </c>
      <c r="F149" s="11">
        <f t="shared" si="3"/>
        <v>0</v>
      </c>
      <c r="G149" t="s">
        <v>6</v>
      </c>
      <c r="H149" s="11">
        <f>IFERROR(INDEX(EndOfLife!$L$64:$P$78,MATCH($A149,EndOfLife!$A$64:$A$78,0),MATCH($G149,EndOfLife!$L$63:$P$63,0))*INDEX(PlasticsUse!$B$27:$L$41,MATCH('CompilationCalcs - Di et al.EOL'!$A149,PlasticsUse!$A$27:$A$41,0),MATCH('CompilationCalcs - Di et al.EOL'!$C149,PlasticsUse!$B$26:$L$26,0)),0)</f>
        <v>0.11201673182923143</v>
      </c>
    </row>
    <row r="150" spans="1:8" x14ac:dyDescent="0.2">
      <c r="A150" t="s">
        <v>19</v>
      </c>
      <c r="B150" t="s">
        <v>207</v>
      </c>
      <c r="C150" t="s">
        <v>103</v>
      </c>
      <c r="D150" s="11"/>
      <c r="E150" s="11" t="str">
        <f>IF('CompilationCalcs - Di et al.EOL'!C150=PlasticsUse!$D$93,Conversions!$A$17,IF('CompilationCalcs - Di et al.EOL'!C150=PlasticsUse!$L$93,Conversions!$A$18,Conversions!$A$16))</f>
        <v>Transfer Station</v>
      </c>
      <c r="F150" s="11">
        <f t="shared" si="3"/>
        <v>0</v>
      </c>
      <c r="G150" t="s">
        <v>6</v>
      </c>
      <c r="H150" s="11">
        <f>IFERROR(INDEX(EndOfLife!$L$64:$P$78,MATCH($A150,EndOfLife!$A$64:$A$78,0),MATCH($G150,EndOfLife!$L$63:$P$63,0))*INDEX(PlasticsUse!$B$27:$L$41,MATCH('CompilationCalcs - Di et al.EOL'!$A150,PlasticsUse!$A$27:$A$41,0),MATCH('CompilationCalcs - Di et al.EOL'!$C150,PlasticsUse!$B$26:$L$26,0)),0)</f>
        <v>0</v>
      </c>
    </row>
    <row r="151" spans="1:8" x14ac:dyDescent="0.2">
      <c r="A151" t="s">
        <v>19</v>
      </c>
      <c r="B151" t="s">
        <v>207</v>
      </c>
      <c r="C151" t="s">
        <v>86</v>
      </c>
      <c r="D151" s="11"/>
      <c r="E151" s="11" t="str">
        <f>IF('CompilationCalcs - Di et al.EOL'!C151=PlasticsUse!$D$93,Conversions!$A$17,IF('CompilationCalcs - Di et al.EOL'!C151=PlasticsUse!$L$93,Conversions!$A$18,Conversions!$A$16))</f>
        <v>Transfer Station</v>
      </c>
      <c r="F151" s="11">
        <f t="shared" si="3"/>
        <v>0</v>
      </c>
      <c r="G151" t="s">
        <v>6</v>
      </c>
      <c r="H151" s="11">
        <f>IFERROR(INDEX(EndOfLife!$L$64:$P$78,MATCH($A151,EndOfLife!$A$64:$A$78,0),MATCH($G151,EndOfLife!$L$63:$P$63,0))*INDEX(PlasticsUse!$B$27:$L$41,MATCH('CompilationCalcs - Di et al.EOL'!$A151,PlasticsUse!$A$27:$A$41,0),MATCH('CompilationCalcs - Di et al.EOL'!$C151,PlasticsUse!$B$26:$L$26,0)),0)</f>
        <v>0.11201673182923143</v>
      </c>
    </row>
    <row r="152" spans="1:8" x14ac:dyDescent="0.2">
      <c r="A152" t="s">
        <v>19</v>
      </c>
      <c r="B152" t="s">
        <v>207</v>
      </c>
      <c r="C152" t="s">
        <v>18</v>
      </c>
      <c r="D152" s="11"/>
      <c r="E152" s="11" t="str">
        <f>IF('CompilationCalcs - Di et al.EOL'!C152=PlasticsUse!$D$93,Conversions!$A$17,IF('CompilationCalcs - Di et al.EOL'!C152=PlasticsUse!$L$93,Conversions!$A$18,Conversions!$A$16))</f>
        <v>N/A</v>
      </c>
      <c r="F152" s="11">
        <f t="shared" si="3"/>
        <v>0</v>
      </c>
      <c r="G152" t="s">
        <v>287</v>
      </c>
      <c r="H152" s="11">
        <f>IFERROR(INDEX(EndOfLife!$L$64:$P$78,MATCH($A152,EndOfLife!$A$64:$A$78,0),MATCH($G152,EndOfLife!$L$63:$P$63,0))*INDEX(PlasticsUse!$B$27:$L$41,MATCH('CompilationCalcs - Di et al.EOL'!$A152,PlasticsUse!$A$27:$A$41,0),MATCH('CompilationCalcs - Di et al.EOL'!$C152,PlasticsUse!$B$26:$L$26,0)),0)</f>
        <v>0</v>
      </c>
    </row>
    <row r="153" spans="1:8" ht="17" x14ac:dyDescent="0.2">
      <c r="A153" t="s">
        <v>19</v>
      </c>
      <c r="B153" t="s">
        <v>207</v>
      </c>
      <c r="E153" s="11" t="s">
        <v>191</v>
      </c>
      <c r="F153" s="11">
        <f t="shared" si="3"/>
        <v>0</v>
      </c>
      <c r="G153" s="28" t="s">
        <v>360</v>
      </c>
      <c r="H153" s="11">
        <f>INDEX(EndOfLife!$T$64:$X$78,MATCH('CompilationCalcs - Di et al.EOL'!$A153,EndOfLife!$S$64:$S$78,0),MATCH('CompilationCalcs - Di et al.EOL'!$G153,EndOfLife!$T$63:$X$63,0))</f>
        <v>7.8218993517413515E-2</v>
      </c>
    </row>
    <row r="154" spans="1:8" ht="17" x14ac:dyDescent="0.2">
      <c r="A154" t="s">
        <v>19</v>
      </c>
      <c r="B154" t="s">
        <v>207</v>
      </c>
      <c r="E154" s="11" t="s">
        <v>191</v>
      </c>
      <c r="F154" s="11">
        <f t="shared" si="3"/>
        <v>0</v>
      </c>
      <c r="G154" s="28" t="s">
        <v>361</v>
      </c>
      <c r="H154" s="11">
        <f>INDEX(EndOfLife!$T$64:$X$78,MATCH('CompilationCalcs - Di et al.EOL'!$A154,EndOfLife!$S$64:$S$78,0),MATCH('CompilationCalcs - Di et al.EOL'!$G154,EndOfLife!$T$63:$X$63,0))</f>
        <v>3.9246402815038287E-2</v>
      </c>
    </row>
    <row r="155" spans="1:8" ht="17" x14ac:dyDescent="0.2">
      <c r="A155" t="s">
        <v>19</v>
      </c>
      <c r="B155" t="s">
        <v>207</v>
      </c>
      <c r="E155" s="11" t="s">
        <v>360</v>
      </c>
      <c r="F155" s="11">
        <f t="shared" si="3"/>
        <v>0</v>
      </c>
      <c r="G155" s="28" t="s">
        <v>192</v>
      </c>
      <c r="H155" s="11">
        <f>INDEX(EndOfLife!$T$64:$X$78,MATCH('CompilationCalcs - Di et al.EOL'!$A155,EndOfLife!$S$64:$S$78,0),MATCH('CompilationCalcs - Di et al.EOL'!$G155,EndOfLife!$T$63:$X$63,0))</f>
        <v>7.8218993517413515E-2</v>
      </c>
    </row>
    <row r="156" spans="1:8" ht="17" x14ac:dyDescent="0.2">
      <c r="A156" t="s">
        <v>19</v>
      </c>
      <c r="B156" t="s">
        <v>207</v>
      </c>
      <c r="E156" s="11" t="s">
        <v>191</v>
      </c>
      <c r="F156" s="11">
        <f t="shared" si="3"/>
        <v>0</v>
      </c>
      <c r="G156" s="28" t="s">
        <v>193</v>
      </c>
      <c r="H156" s="11">
        <f>INDEX(EndOfLife!$T$64:$X$78,MATCH('CompilationCalcs - Di et al.EOL'!$A156,EndOfLife!$S$64:$S$78,0),MATCH('CompilationCalcs - Di et al.EOL'!$G156,EndOfLife!$T$63:$X$63,0))</f>
        <v>2.9206625350726169E-3</v>
      </c>
    </row>
    <row r="157" spans="1:8" x14ac:dyDescent="0.2">
      <c r="A157" t="s">
        <v>1</v>
      </c>
      <c r="B157" t="s">
        <v>206</v>
      </c>
      <c r="C157" t="s">
        <v>38</v>
      </c>
      <c r="D157" s="11">
        <f>INDEX(PlasticsUse!$B$48:$L$64,MATCH('CompilationCalcs - Di et al.EOL'!$A157,PlasticsUse!$A$48:$A$64,0),MATCH('CompilationCalcs - Di et al.EOL'!$C157,PlasticsUse!$B$47:$L$47,0))</f>
        <v>0.20617443319212375</v>
      </c>
      <c r="E157" s="11" t="str">
        <f>IF('CompilationCalcs - Di et al.EOL'!C157=PlasticsUse!$D$93,Conversions!$A$17,IF('CompilationCalcs - Di et al.EOL'!C157=PlasticsUse!$L$93,Conversions!$A$18,Conversions!$A$16))</f>
        <v>Transfer Station</v>
      </c>
      <c r="F157" s="11">
        <f>INDEX('In-Use Stocks'!$M$81:$V$97,MATCH('CompilationCalcs - Di et al.EOL'!$A157,'In-Use Stocks'!$L$81:$L$97,0),MATCH('CompilationCalcs - Di et al.EOL'!$C157,'In-Use Stocks'!$M$80:$V$80,0))</f>
        <v>0.11339997340437069</v>
      </c>
      <c r="G157" t="s">
        <v>191</v>
      </c>
      <c r="H157" s="11">
        <f>IFERROR(INDEX(EndOfLife!$L$64:$P$78,MATCH($A157,EndOfLife!$A$64:$A$78,0),MATCH($G157,EndOfLife!$L$63:$P$63,0))*INDEX(PlasticsUse!$B$27:$L$41,MATCH('CompilationCalcs - Di et al.EOL'!$A157,PlasticsUse!$A$27:$A$41,0),MATCH('CompilationCalcs - Di et al.EOL'!$C157,PlasticsUse!$B$26:$L$26,0)),0)</f>
        <v>2.5583002685189319E-2</v>
      </c>
    </row>
    <row r="158" spans="1:8" x14ac:dyDescent="0.2">
      <c r="A158" t="s">
        <v>1</v>
      </c>
      <c r="B158" t="s">
        <v>206</v>
      </c>
      <c r="C158" t="s">
        <v>99</v>
      </c>
      <c r="D158" s="11">
        <f>INDEX(PlasticsUse!$B$48:$L$64,MATCH('CompilationCalcs - Di et al.EOL'!$A158,PlasticsUse!$A$48:$A$64,0),MATCH('CompilationCalcs - Di et al.EOL'!$C158,PlasticsUse!$B$47:$L$47,0))</f>
        <v>0.20617443319212375</v>
      </c>
      <c r="E158" s="11" t="str">
        <f>IF('CompilationCalcs - Di et al.EOL'!C158=PlasticsUse!$D$93,Conversions!$A$17,IF('CompilationCalcs - Di et al.EOL'!C158=PlasticsUse!$L$93,Conversions!$A$18,Conversions!$A$16))</f>
        <v>Transfer Station</v>
      </c>
      <c r="F158" s="11">
        <f>INDEX('In-Use Stocks'!$M$81:$V$97,MATCH('CompilationCalcs - Di et al.EOL'!$A158,'In-Use Stocks'!$L$81:$L$97,0),MATCH('CompilationCalcs - Di et al.EOL'!$C158,'In-Use Stocks'!$M$80:$V$80,0))</f>
        <v>0.27592153975516903</v>
      </c>
      <c r="G158" t="s">
        <v>191</v>
      </c>
      <c r="H158" s="11">
        <f>IFERROR(INDEX(EndOfLife!$L$64:$P$78,MATCH($A158,EndOfLife!$A$64:$A$78,0),MATCH($G158,EndOfLife!$L$63:$P$63,0))*INDEX(PlasticsUse!$B$27:$L$41,MATCH('CompilationCalcs - Di et al.EOL'!$A158,PlasticsUse!$A$27:$A$41,0),MATCH('CompilationCalcs - Di et al.EOL'!$C158,PlasticsUse!$B$26:$L$26,0)),0)</f>
        <v>2.5583002685189319E-2</v>
      </c>
    </row>
    <row r="159" spans="1:8" x14ac:dyDescent="0.2">
      <c r="A159" t="s">
        <v>1</v>
      </c>
      <c r="B159" t="s">
        <v>206</v>
      </c>
      <c r="C159" t="s">
        <v>69</v>
      </c>
      <c r="D159" s="11">
        <f>INDEX(PlasticsUse!$B$48:$L$64,MATCH('CompilationCalcs - Di et al.EOL'!$A159,PlasticsUse!$A$48:$A$64,0),MATCH('CompilationCalcs - Di et al.EOL'!$C159,PlasticsUse!$B$47:$L$47,0))</f>
        <v>0.20617443319212375</v>
      </c>
      <c r="E159" s="11" t="str">
        <f>IF('CompilationCalcs - Di et al.EOL'!C159=PlasticsUse!$D$93,Conversions!$A$17,IF('CompilationCalcs - Di et al.EOL'!C159=PlasticsUse!$L$93,Conversions!$A$18,Conversions!$A$16))</f>
        <v>Automotive Shredding Facility</v>
      </c>
      <c r="F159" s="11">
        <f>INDEX('In-Use Stocks'!$M$81:$V$97,MATCH('CompilationCalcs - Di et al.EOL'!$A159,'In-Use Stocks'!$L$81:$L$97,0),MATCH('CompilationCalcs - Di et al.EOL'!$C159,'In-Use Stocks'!$M$80:$V$80,0))</f>
        <v>0.29919555911991708</v>
      </c>
      <c r="G159" t="s">
        <v>191</v>
      </c>
      <c r="H159" s="11">
        <f>IFERROR(INDEX(EndOfLife!$L$64:$P$78,MATCH($A159,EndOfLife!$A$64:$A$78,0),MATCH($G159,EndOfLife!$L$63:$P$63,0))*INDEX(PlasticsUse!$B$27:$L$41,MATCH('CompilationCalcs - Di et al.EOL'!$A159,PlasticsUse!$A$27:$A$41,0),MATCH('CompilationCalcs - Di et al.EOL'!$C159,PlasticsUse!$B$26:$L$26,0)),0)</f>
        <v>2.5583002685189319E-2</v>
      </c>
    </row>
    <row r="160" spans="1:8" x14ac:dyDescent="0.2">
      <c r="A160" t="s">
        <v>1</v>
      </c>
      <c r="B160" t="s">
        <v>206</v>
      </c>
      <c r="C160" t="s">
        <v>100</v>
      </c>
      <c r="D160" s="11">
        <f>INDEX(PlasticsUse!$B$48:$L$64,MATCH('CompilationCalcs - Di et al.EOL'!$A160,PlasticsUse!$A$48:$A$64,0),MATCH('CompilationCalcs - Di et al.EOL'!$C160,PlasticsUse!$B$47:$L$47,0))</f>
        <v>0.20617443319212375</v>
      </c>
      <c r="E160" s="11" t="str">
        <f>IF('CompilationCalcs - Di et al.EOL'!C160=PlasticsUse!$D$93,Conversions!$A$17,IF('CompilationCalcs - Di et al.EOL'!C160=PlasticsUse!$L$93,Conversions!$A$18,Conversions!$A$16))</f>
        <v>Transfer Station</v>
      </c>
      <c r="F160" s="11">
        <f>INDEX('In-Use Stocks'!$M$81:$V$97,MATCH('CompilationCalcs - Di et al.EOL'!$A160,'In-Use Stocks'!$L$81:$L$97,0),MATCH('CompilationCalcs - Di et al.EOL'!$C160,'In-Use Stocks'!$M$80:$V$80,0))</f>
        <v>0.21965057980236355</v>
      </c>
      <c r="G160" t="s">
        <v>191</v>
      </c>
      <c r="H160" s="11">
        <f>IFERROR(INDEX(EndOfLife!$L$64:$P$78,MATCH($A160,EndOfLife!$A$64:$A$78,0),MATCH($G160,EndOfLife!$L$63:$P$63,0))*INDEX(PlasticsUse!$B$27:$L$41,MATCH('CompilationCalcs - Di et al.EOL'!$A160,PlasticsUse!$A$27:$A$41,0),MATCH('CompilationCalcs - Di et al.EOL'!$C160,PlasticsUse!$B$26:$L$26,0)),0)</f>
        <v>2.5583002685189319E-2</v>
      </c>
    </row>
    <row r="161" spans="1:8" x14ac:dyDescent="0.2">
      <c r="A161" t="s">
        <v>1</v>
      </c>
      <c r="B161" t="s">
        <v>206</v>
      </c>
      <c r="C161" t="s">
        <v>39</v>
      </c>
      <c r="D161" s="11">
        <f>INDEX(PlasticsUse!$B$48:$L$64,MATCH('CompilationCalcs - Di et al.EOL'!$A161,PlasticsUse!$A$48:$A$64,0),MATCH('CompilationCalcs - Di et al.EOL'!$C161,PlasticsUse!$B$47:$L$47,0))</f>
        <v>0.20617443319212375</v>
      </c>
      <c r="E161" s="11" t="str">
        <f>IF('CompilationCalcs - Di et al.EOL'!C161=PlasticsUse!$D$93,Conversions!$A$17,IF('CompilationCalcs - Di et al.EOL'!C161=PlasticsUse!$L$93,Conversions!$A$18,Conversions!$A$16))</f>
        <v>Transfer Station</v>
      </c>
      <c r="F161" s="11">
        <f>INDEX('In-Use Stocks'!$M$81:$V$97,MATCH('CompilationCalcs - Di et al.EOL'!$A161,'In-Use Stocks'!$L$81:$L$97,0),MATCH('CompilationCalcs - Di et al.EOL'!$C161,'In-Use Stocks'!$M$80:$V$80,0))</f>
        <v>0.35090648274525166</v>
      </c>
      <c r="G161" t="s">
        <v>191</v>
      </c>
      <c r="H161" s="11">
        <f>IFERROR(INDEX(EndOfLife!$L$64:$P$78,MATCH($A161,EndOfLife!$A$64:$A$78,0),MATCH($G161,EndOfLife!$L$63:$P$63,0))*INDEX(PlasticsUse!$B$27:$L$41,MATCH('CompilationCalcs - Di et al.EOL'!$A161,PlasticsUse!$A$27:$A$41,0),MATCH('CompilationCalcs - Di et al.EOL'!$C161,PlasticsUse!$B$26:$L$26,0)),0)</f>
        <v>2.5583002685189319E-2</v>
      </c>
    </row>
    <row r="162" spans="1:8" x14ac:dyDescent="0.2">
      <c r="A162" t="s">
        <v>1</v>
      </c>
      <c r="B162" t="s">
        <v>206</v>
      </c>
      <c r="C162" t="s">
        <v>68</v>
      </c>
      <c r="D162" s="11">
        <f>INDEX(PlasticsUse!$B$48:$L$64,MATCH('CompilationCalcs - Di et al.EOL'!$A162,PlasticsUse!$A$48:$A$64,0),MATCH('CompilationCalcs - Di et al.EOL'!$C162,PlasticsUse!$B$47:$L$47,0))</f>
        <v>0.20617443319212375</v>
      </c>
      <c r="E162" s="11" t="str">
        <f>IF('CompilationCalcs - Di et al.EOL'!C162=PlasticsUse!$D$93,Conversions!$A$17,IF('CompilationCalcs - Di et al.EOL'!C162=PlasticsUse!$L$93,Conversions!$A$18,Conversions!$A$16))</f>
        <v>Transfer Station</v>
      </c>
      <c r="F162" s="11">
        <f>INDEX('In-Use Stocks'!$M$81:$V$97,MATCH('CompilationCalcs - Di et al.EOL'!$A162,'In-Use Stocks'!$L$81:$L$97,0),MATCH('CompilationCalcs - Di et al.EOL'!$C162,'In-Use Stocks'!$M$80:$V$80,0))</f>
        <v>0.31176541449103817</v>
      </c>
      <c r="G162" t="s">
        <v>333</v>
      </c>
      <c r="H162" s="11">
        <f>IFERROR(INDEX(EndOfLife!$L$64:$P$78,MATCH($A162,EndOfLife!$A$64:$A$78,0),MATCH($G162,EndOfLife!$L$63:$P$63,0))*INDEX(PlasticsUse!$B$27:$L$41,MATCH('CompilationCalcs - Di et al.EOL'!$A162,PlasticsUse!$A$27:$A$41,0),MATCH('CompilationCalcs - Di et al.EOL'!$C162,PlasticsUse!$B$26:$L$26,0)),0)</f>
        <v>7.47636115587293E-3</v>
      </c>
    </row>
    <row r="163" spans="1:8" x14ac:dyDescent="0.2">
      <c r="A163" t="s">
        <v>1</v>
      </c>
      <c r="B163" t="s">
        <v>206</v>
      </c>
      <c r="C163" t="s">
        <v>63</v>
      </c>
      <c r="D163" s="11">
        <f>INDEX(PlasticsUse!$B$48:$L$64,MATCH('CompilationCalcs - Di et al.EOL'!$A163,PlasticsUse!$A$48:$A$64,0),MATCH('CompilationCalcs - Di et al.EOL'!$C163,PlasticsUse!$B$47:$L$47,0))</f>
        <v>0.20617443319212375</v>
      </c>
      <c r="E163" s="11" t="str">
        <f>IF('CompilationCalcs - Di et al.EOL'!C163=PlasticsUse!$D$93,Conversions!$A$17,IF('CompilationCalcs - Di et al.EOL'!C163=PlasticsUse!$L$93,Conversions!$A$18,Conversions!$A$16))</f>
        <v>Transfer Station</v>
      </c>
      <c r="F163" s="11">
        <f>INDEX('In-Use Stocks'!$M$81:$V$97,MATCH('CompilationCalcs - Di et al.EOL'!$A163,'In-Use Stocks'!$L$81:$L$97,0),MATCH('CompilationCalcs - Di et al.EOL'!$C163,'In-Use Stocks'!$M$80:$V$80,0))</f>
        <v>0.28529132793822443</v>
      </c>
      <c r="G163" t="s">
        <v>191</v>
      </c>
      <c r="H163" s="11">
        <f>IFERROR(INDEX(EndOfLife!$L$64:$P$78,MATCH($A163,EndOfLife!$A$64:$A$78,0),MATCH($G163,EndOfLife!$L$63:$P$63,0))*INDEX(PlasticsUse!$B$27:$L$41,MATCH('CompilationCalcs - Di et al.EOL'!$A163,PlasticsUse!$A$27:$A$41,0),MATCH('CompilationCalcs - Di et al.EOL'!$C163,PlasticsUse!$B$26:$L$26,0)),0)</f>
        <v>2.5583002685189319E-2</v>
      </c>
    </row>
    <row r="164" spans="1:8" x14ac:dyDescent="0.2">
      <c r="A164" t="s">
        <v>1</v>
      </c>
      <c r="B164" t="s">
        <v>206</v>
      </c>
      <c r="C164" t="s">
        <v>92</v>
      </c>
      <c r="D164" s="11">
        <f>INDEX(PlasticsUse!$B$48:$L$64,MATCH('CompilationCalcs - Di et al.EOL'!$A164,PlasticsUse!$A$48:$A$64,0),MATCH('CompilationCalcs - Di et al.EOL'!$C164,PlasticsUse!$B$47:$L$47,0))</f>
        <v>0.20617443319212375</v>
      </c>
      <c r="E164" s="11" t="str">
        <f>IF('CompilationCalcs - Di et al.EOL'!C164=PlasticsUse!$D$93,Conversions!$A$17,IF('CompilationCalcs - Di et al.EOL'!C164=PlasticsUse!$L$93,Conversions!$A$18,Conversions!$A$16))</f>
        <v>Transfer Station</v>
      </c>
      <c r="F164" s="11">
        <f>INDEX('In-Use Stocks'!$M$81:$V$97,MATCH('CompilationCalcs - Di et al.EOL'!$A164,'In-Use Stocks'!$L$81:$L$97,0),MATCH('CompilationCalcs - Di et al.EOL'!$C164,'In-Use Stocks'!$M$80:$V$80,0))</f>
        <v>0.24683403688970937</v>
      </c>
      <c r="G164" t="s">
        <v>191</v>
      </c>
      <c r="H164" s="11">
        <f>IFERROR(INDEX(EndOfLife!$L$64:$P$78,MATCH($A164,EndOfLife!$A$64:$A$78,0),MATCH($G164,EndOfLife!$L$63:$P$63,0))*INDEX(PlasticsUse!$B$27:$L$41,MATCH('CompilationCalcs - Di et al.EOL'!$A164,PlasticsUse!$A$27:$A$41,0),MATCH('CompilationCalcs - Di et al.EOL'!$C164,PlasticsUse!$B$26:$L$26,0)),0)</f>
        <v>2.5583002685189319E-2</v>
      </c>
    </row>
    <row r="165" spans="1:8" x14ac:dyDescent="0.2">
      <c r="A165" t="s">
        <v>1</v>
      </c>
      <c r="B165" t="s">
        <v>206</v>
      </c>
      <c r="C165" t="s">
        <v>103</v>
      </c>
      <c r="D165" s="11">
        <f>INDEX(PlasticsUse!$B$48:$L$64,MATCH('CompilationCalcs - Di et al.EOL'!$A165,PlasticsUse!$A$48:$A$64,0),MATCH('CompilationCalcs - Di et al.EOL'!$C165,PlasticsUse!$B$47:$L$47,0))</f>
        <v>0</v>
      </c>
      <c r="E165" s="11" t="str">
        <f>IF('CompilationCalcs - Di et al.EOL'!C165=PlasticsUse!$D$93,Conversions!$A$17,IF('CompilationCalcs - Di et al.EOL'!C165=PlasticsUse!$L$93,Conversions!$A$18,Conversions!$A$16))</f>
        <v>Transfer Station</v>
      </c>
      <c r="F165" s="11">
        <f>INDEX('In-Use Stocks'!$M$81:$V$97,MATCH('CompilationCalcs - Di et al.EOL'!$A165,'In-Use Stocks'!$L$81:$L$97,0),MATCH('CompilationCalcs - Di et al.EOL'!$C165,'In-Use Stocks'!$M$80:$V$80,0))</f>
        <v>0</v>
      </c>
      <c r="G165" t="s">
        <v>191</v>
      </c>
      <c r="H165" s="11">
        <f>IFERROR(INDEX(EndOfLife!$L$64:$P$78,MATCH($A165,EndOfLife!$A$64:$A$78,0),MATCH($G165,EndOfLife!$L$63:$P$63,0))*INDEX(PlasticsUse!$B$27:$L$41,MATCH('CompilationCalcs - Di et al.EOL'!$A165,PlasticsUse!$A$27:$A$41,0),MATCH('CompilationCalcs - Di et al.EOL'!$C165,PlasticsUse!$B$26:$L$26,0)),0)</f>
        <v>0</v>
      </c>
    </row>
    <row r="166" spans="1:8" x14ac:dyDescent="0.2">
      <c r="A166" t="s">
        <v>1</v>
      </c>
      <c r="B166" t="s">
        <v>206</v>
      </c>
      <c r="C166" t="s">
        <v>86</v>
      </c>
      <c r="D166" s="11">
        <f>INDEX(PlasticsUse!$B$48:$L$64,MATCH('CompilationCalcs - Di et al.EOL'!$A166,PlasticsUse!$A$48:$A$64,0),MATCH('CompilationCalcs - Di et al.EOL'!$C166,PlasticsUse!$B$47:$L$47,0))</f>
        <v>0.20617443319212375</v>
      </c>
      <c r="E166" s="11" t="str">
        <f>IF('CompilationCalcs - Di et al.EOL'!C166=PlasticsUse!$D$93,Conversions!$A$17,IF('CompilationCalcs - Di et al.EOL'!C166=PlasticsUse!$L$93,Conversions!$A$18,Conversions!$A$16))</f>
        <v>Transfer Station</v>
      </c>
      <c r="F166" s="11">
        <f>INDEX('In-Use Stocks'!$M$81:$V$97,MATCH('CompilationCalcs - Di et al.EOL'!$A166,'In-Use Stocks'!$L$81:$L$97,0),MATCH('CompilationCalcs - Di et al.EOL'!$C166,'In-Use Stocks'!$M$80:$V$80,0))</f>
        <v>0.24683403688970937</v>
      </c>
      <c r="G166" t="s">
        <v>191</v>
      </c>
      <c r="H166" s="11">
        <f>IFERROR(INDEX(EndOfLife!$L$64:$P$78,MATCH($A166,EndOfLife!$A$64:$A$78,0),MATCH($G166,EndOfLife!$L$63:$P$63,0))*INDEX(PlasticsUse!$B$27:$L$41,MATCH('CompilationCalcs - Di et al.EOL'!$A166,PlasticsUse!$A$27:$A$41,0),MATCH('CompilationCalcs - Di et al.EOL'!$C166,PlasticsUse!$B$26:$L$26,0)),0)</f>
        <v>2.5583002685189319E-2</v>
      </c>
    </row>
    <row r="167" spans="1:8" x14ac:dyDescent="0.2">
      <c r="A167" t="s">
        <v>1</v>
      </c>
      <c r="B167" t="s">
        <v>206</v>
      </c>
      <c r="C167" t="s">
        <v>18</v>
      </c>
      <c r="D167" s="11">
        <f>INDEX(PlasticsUse!$B$48:$L$64,MATCH('CompilationCalcs - Di et al.EOL'!$A167,PlasticsUse!$A$48:$A$64,0),MATCH('CompilationCalcs - Di et al.EOL'!$C167,PlasticsUse!$B$47:$L$47,0))</f>
        <v>0.20617443319212375</v>
      </c>
      <c r="E167" s="11" t="str">
        <f>IF('CompilationCalcs - Di et al.EOL'!C167=PlasticsUse!$D$93,Conversions!$A$17,IF('CompilationCalcs - Di et al.EOL'!C167=PlasticsUse!$L$93,Conversions!$A$18,Conversions!$A$16))</f>
        <v>N/A</v>
      </c>
      <c r="F167" s="11">
        <v>0</v>
      </c>
      <c r="G167" t="s">
        <v>287</v>
      </c>
      <c r="H167" s="11">
        <f>IFERROR(INDEX(EndOfLife!$L$64:$P$78,MATCH($A167,EndOfLife!$A$64:$A$78,0),MATCH($G167,EndOfLife!$L$63:$P$63,0))*INDEX(PlasticsUse!$B$27:$L$41,MATCH('CompilationCalcs - Di et al.EOL'!$A167,PlasticsUse!$A$27:$A$41,0),MATCH('CompilationCalcs - Di et al.EOL'!$C167,PlasticsUse!$B$26:$L$26,0)),0)</f>
        <v>0</v>
      </c>
    </row>
    <row r="168" spans="1:8" x14ac:dyDescent="0.2">
      <c r="A168" t="s">
        <v>1</v>
      </c>
      <c r="B168" t="s">
        <v>207</v>
      </c>
      <c r="C168" t="s">
        <v>38</v>
      </c>
      <c r="D168" s="11"/>
      <c r="E168" s="11" t="str">
        <f>IF('CompilationCalcs - Di et al.EOL'!C168=PlasticsUse!$D$93,Conversions!$A$17,IF('CompilationCalcs - Di et al.EOL'!C168=PlasticsUse!$L$93,Conversions!$A$18,Conversions!$A$16))</f>
        <v>Transfer Station</v>
      </c>
      <c r="F168" s="11">
        <f t="shared" si="3"/>
        <v>0</v>
      </c>
      <c r="G168" t="s">
        <v>5</v>
      </c>
      <c r="H168" s="11">
        <f>IFERROR(INDEX(EndOfLife!$L$64:$P$78,MATCH($A168,EndOfLife!$A$64:$A$78,0),MATCH($G168,EndOfLife!$L$63:$P$63,0))*INDEX(PlasticsUse!$B$27:$L$41,MATCH('CompilationCalcs - Di et al.EOL'!$A168,PlasticsUse!$A$27:$A$41,0),MATCH('CompilationCalcs - Di et al.EOL'!$C168,PlasticsUse!$B$26:$L$26,0)),0)</f>
        <v>3.2429833963731843E-2</v>
      </c>
    </row>
    <row r="169" spans="1:8" x14ac:dyDescent="0.2">
      <c r="A169" t="s">
        <v>1</v>
      </c>
      <c r="B169" t="s">
        <v>207</v>
      </c>
      <c r="C169" t="s">
        <v>99</v>
      </c>
      <c r="D169" s="11"/>
      <c r="E169" s="11" t="str">
        <f>IF('CompilationCalcs - Di et al.EOL'!C169=PlasticsUse!$D$93,Conversions!$A$17,IF('CompilationCalcs - Di et al.EOL'!C169=PlasticsUse!$L$93,Conversions!$A$18,Conversions!$A$16))</f>
        <v>Transfer Station</v>
      </c>
      <c r="F169" s="11">
        <f t="shared" si="3"/>
        <v>0</v>
      </c>
      <c r="G169" t="s">
        <v>5</v>
      </c>
      <c r="H169" s="11">
        <f>IFERROR(INDEX(EndOfLife!$L$64:$P$78,MATCH($A169,EndOfLife!$A$64:$A$78,0),MATCH($G169,EndOfLife!$L$63:$P$63,0))*INDEX(PlasticsUse!$B$27:$L$41,MATCH('CompilationCalcs - Di et al.EOL'!$A169,PlasticsUse!$A$27:$A$41,0),MATCH('CompilationCalcs - Di et al.EOL'!$C169,PlasticsUse!$B$26:$L$26,0)),0)</f>
        <v>3.2429833963731843E-2</v>
      </c>
    </row>
    <row r="170" spans="1:8" x14ac:dyDescent="0.2">
      <c r="A170" t="s">
        <v>1</v>
      </c>
      <c r="B170" t="s">
        <v>207</v>
      </c>
      <c r="C170" t="s">
        <v>69</v>
      </c>
      <c r="D170" s="11"/>
      <c r="E170" s="11" t="str">
        <f>IF('CompilationCalcs - Di et al.EOL'!C170=PlasticsUse!$D$93,Conversions!$A$17,IF('CompilationCalcs - Di et al.EOL'!C170=PlasticsUse!$L$93,Conversions!$A$18,Conversions!$A$16))</f>
        <v>Automotive Shredding Facility</v>
      </c>
      <c r="F170" s="11">
        <f t="shared" si="3"/>
        <v>0</v>
      </c>
      <c r="G170" t="s">
        <v>5</v>
      </c>
      <c r="H170" s="11">
        <f>IFERROR(INDEX(EndOfLife!$L$64:$P$78,MATCH($A170,EndOfLife!$A$64:$A$78,0),MATCH($G170,EndOfLife!$L$63:$P$63,0))*INDEX(PlasticsUse!$B$27:$L$41,MATCH('CompilationCalcs - Di et al.EOL'!$A170,PlasticsUse!$A$27:$A$41,0),MATCH('CompilationCalcs - Di et al.EOL'!$C170,PlasticsUse!$B$26:$L$26,0)),0)</f>
        <v>3.2429833963731843E-2</v>
      </c>
    </row>
    <row r="171" spans="1:8" x14ac:dyDescent="0.2">
      <c r="A171" t="s">
        <v>1</v>
      </c>
      <c r="B171" t="s">
        <v>207</v>
      </c>
      <c r="C171" t="s">
        <v>100</v>
      </c>
      <c r="D171" s="11"/>
      <c r="E171" s="11" t="str">
        <f>IF('CompilationCalcs - Di et al.EOL'!C171=PlasticsUse!$D$93,Conversions!$A$17,IF('CompilationCalcs - Di et al.EOL'!C171=PlasticsUse!$L$93,Conversions!$A$18,Conversions!$A$16))</f>
        <v>Transfer Station</v>
      </c>
      <c r="F171" s="11">
        <f t="shared" si="3"/>
        <v>0</v>
      </c>
      <c r="G171" t="s">
        <v>5</v>
      </c>
      <c r="H171" s="11">
        <f>IFERROR(INDEX(EndOfLife!$L$64:$P$78,MATCH($A171,EndOfLife!$A$64:$A$78,0),MATCH($G171,EndOfLife!$L$63:$P$63,0))*INDEX(PlasticsUse!$B$27:$L$41,MATCH('CompilationCalcs - Di et al.EOL'!$A171,PlasticsUse!$A$27:$A$41,0),MATCH('CompilationCalcs - Di et al.EOL'!$C171,PlasticsUse!$B$26:$L$26,0)),0)</f>
        <v>3.2429833963731843E-2</v>
      </c>
    </row>
    <row r="172" spans="1:8" x14ac:dyDescent="0.2">
      <c r="A172" t="s">
        <v>1</v>
      </c>
      <c r="B172" t="s">
        <v>207</v>
      </c>
      <c r="C172" t="s">
        <v>39</v>
      </c>
      <c r="D172" s="11"/>
      <c r="E172" s="11" t="str">
        <f>IF('CompilationCalcs - Di et al.EOL'!C172=PlasticsUse!$D$93,Conversions!$A$17,IF('CompilationCalcs - Di et al.EOL'!C172=PlasticsUse!$L$93,Conversions!$A$18,Conversions!$A$16))</f>
        <v>Transfer Station</v>
      </c>
      <c r="F172" s="11">
        <f t="shared" si="3"/>
        <v>0</v>
      </c>
      <c r="G172" t="s">
        <v>5</v>
      </c>
      <c r="H172" s="11">
        <f>IFERROR(INDEX(EndOfLife!$L$64:$P$78,MATCH($A172,EndOfLife!$A$64:$A$78,0),MATCH($G172,EndOfLife!$L$63:$P$63,0))*INDEX(PlasticsUse!$B$27:$L$41,MATCH('CompilationCalcs - Di et al.EOL'!$A172,PlasticsUse!$A$27:$A$41,0),MATCH('CompilationCalcs - Di et al.EOL'!$C172,PlasticsUse!$B$26:$L$26,0)),0)</f>
        <v>3.2429833963731843E-2</v>
      </c>
    </row>
    <row r="173" spans="1:8" x14ac:dyDescent="0.2">
      <c r="A173" t="s">
        <v>1</v>
      </c>
      <c r="B173" t="s">
        <v>207</v>
      </c>
      <c r="C173" t="s">
        <v>63</v>
      </c>
      <c r="D173" s="11"/>
      <c r="E173" s="11" t="str">
        <f>IF('CompilationCalcs - Di et al.EOL'!C173=PlasticsUse!$D$93,Conversions!$A$17,IF('CompilationCalcs - Di et al.EOL'!C173=PlasticsUse!$L$93,Conversions!$A$18,Conversions!$A$16))</f>
        <v>Transfer Station</v>
      </c>
      <c r="F173" s="11">
        <f t="shared" si="3"/>
        <v>0</v>
      </c>
      <c r="G173" t="s">
        <v>5</v>
      </c>
      <c r="H173" s="11">
        <f>IFERROR(INDEX(EndOfLife!$L$64:$P$78,MATCH($A173,EndOfLife!$A$64:$A$78,0),MATCH($G173,EndOfLife!$L$63:$P$63,0))*INDEX(PlasticsUse!$B$27:$L$41,MATCH('CompilationCalcs - Di et al.EOL'!$A173,PlasticsUse!$A$27:$A$41,0),MATCH('CompilationCalcs - Di et al.EOL'!$C173,PlasticsUse!$B$26:$L$26,0)),0)</f>
        <v>3.2429833963731843E-2</v>
      </c>
    </row>
    <row r="174" spans="1:8" x14ac:dyDescent="0.2">
      <c r="A174" t="s">
        <v>1</v>
      </c>
      <c r="B174" t="s">
        <v>207</v>
      </c>
      <c r="C174" t="s">
        <v>92</v>
      </c>
      <c r="D174" s="11"/>
      <c r="E174" s="11" t="str">
        <f>IF('CompilationCalcs - Di et al.EOL'!C174=PlasticsUse!$D$93,Conversions!$A$17,IF('CompilationCalcs - Di et al.EOL'!C174=PlasticsUse!$L$93,Conversions!$A$18,Conversions!$A$16))</f>
        <v>Transfer Station</v>
      </c>
      <c r="F174" s="11">
        <f t="shared" si="3"/>
        <v>0</v>
      </c>
      <c r="G174" t="s">
        <v>5</v>
      </c>
      <c r="H174" s="11">
        <f>IFERROR(INDEX(EndOfLife!$L$64:$P$78,MATCH($A174,EndOfLife!$A$64:$A$78,0),MATCH($G174,EndOfLife!$L$63:$P$63,0))*INDEX(PlasticsUse!$B$27:$L$41,MATCH('CompilationCalcs - Di et al.EOL'!$A174,PlasticsUse!$A$27:$A$41,0),MATCH('CompilationCalcs - Di et al.EOL'!$C174,PlasticsUse!$B$26:$L$26,0)),0)</f>
        <v>3.2429833963731843E-2</v>
      </c>
    </row>
    <row r="175" spans="1:8" x14ac:dyDescent="0.2">
      <c r="A175" t="s">
        <v>1</v>
      </c>
      <c r="B175" t="s">
        <v>207</v>
      </c>
      <c r="C175" t="s">
        <v>103</v>
      </c>
      <c r="D175" s="11"/>
      <c r="E175" s="11" t="str">
        <f>IF('CompilationCalcs - Di et al.EOL'!C175=PlasticsUse!$D$93,Conversions!$A$17,IF('CompilationCalcs - Di et al.EOL'!C175=PlasticsUse!$L$93,Conversions!$A$18,Conversions!$A$16))</f>
        <v>Transfer Station</v>
      </c>
      <c r="F175" s="11">
        <f t="shared" si="3"/>
        <v>0</v>
      </c>
      <c r="G175" t="s">
        <v>5</v>
      </c>
      <c r="H175" s="11">
        <f>IFERROR(INDEX(EndOfLife!$L$64:$P$78,MATCH($A175,EndOfLife!$A$64:$A$78,0),MATCH($G175,EndOfLife!$L$63:$P$63,0))*INDEX(PlasticsUse!$B$27:$L$41,MATCH('CompilationCalcs - Di et al.EOL'!$A175,PlasticsUse!$A$27:$A$41,0),MATCH('CompilationCalcs - Di et al.EOL'!$C175,PlasticsUse!$B$26:$L$26,0)),0)</f>
        <v>0</v>
      </c>
    </row>
    <row r="176" spans="1:8" x14ac:dyDescent="0.2">
      <c r="A176" t="s">
        <v>1</v>
      </c>
      <c r="B176" t="s">
        <v>207</v>
      </c>
      <c r="C176" t="s">
        <v>86</v>
      </c>
      <c r="D176" s="11"/>
      <c r="E176" s="11" t="str">
        <f>IF('CompilationCalcs - Di et al.EOL'!C176=PlasticsUse!$D$93,Conversions!$A$17,IF('CompilationCalcs - Di et al.EOL'!C176=PlasticsUse!$L$93,Conversions!$A$18,Conversions!$A$16))</f>
        <v>Transfer Station</v>
      </c>
      <c r="F176" s="11">
        <f t="shared" si="3"/>
        <v>0</v>
      </c>
      <c r="G176" t="s">
        <v>5</v>
      </c>
      <c r="H176" s="11">
        <f>IFERROR(INDEX(EndOfLife!$L$64:$P$78,MATCH($A176,EndOfLife!$A$64:$A$78,0),MATCH($G176,EndOfLife!$L$63:$P$63,0))*INDEX(PlasticsUse!$B$27:$L$41,MATCH('CompilationCalcs - Di et al.EOL'!$A176,PlasticsUse!$A$27:$A$41,0),MATCH('CompilationCalcs - Di et al.EOL'!$C176,PlasticsUse!$B$26:$L$26,0)),0)</f>
        <v>3.2429833963731843E-2</v>
      </c>
    </row>
    <row r="177" spans="1:8" x14ac:dyDescent="0.2">
      <c r="A177" t="s">
        <v>1</v>
      </c>
      <c r="B177" t="s">
        <v>207</v>
      </c>
      <c r="C177" t="s">
        <v>18</v>
      </c>
      <c r="D177" s="11"/>
      <c r="E177" s="11" t="str">
        <f>IF('CompilationCalcs - Di et al.EOL'!C177=PlasticsUse!$D$93,Conversions!$A$17,IF('CompilationCalcs - Di et al.EOL'!C177=PlasticsUse!$L$93,Conversions!$A$18,Conversions!$A$16))</f>
        <v>N/A</v>
      </c>
      <c r="F177" s="11">
        <f t="shared" si="3"/>
        <v>0</v>
      </c>
      <c r="G177" t="s">
        <v>287</v>
      </c>
      <c r="H177" s="11">
        <f>IFERROR(INDEX(EndOfLife!$L$64:$P$78,MATCH($A177,EndOfLife!$A$64:$A$78,0),MATCH($G177,EndOfLife!$L$63:$P$63,0))*INDEX(PlasticsUse!$B$27:$L$41,MATCH('CompilationCalcs - Di et al.EOL'!$A177,PlasticsUse!$A$27:$A$41,0),MATCH('CompilationCalcs - Di et al.EOL'!$C177,PlasticsUse!$B$26:$L$26,0)),0)</f>
        <v>0</v>
      </c>
    </row>
    <row r="178" spans="1:8" x14ac:dyDescent="0.2">
      <c r="A178" t="s">
        <v>1</v>
      </c>
      <c r="B178" t="s">
        <v>207</v>
      </c>
      <c r="C178" t="s">
        <v>38</v>
      </c>
      <c r="D178" s="11"/>
      <c r="E178" s="11" t="str">
        <f>IF('CompilationCalcs - Di et al.EOL'!C178=PlasticsUse!$D$93,Conversions!$A$17,IF('CompilationCalcs - Di et al.EOL'!C178=PlasticsUse!$L$93,Conversions!$A$18,Conversions!$A$16))</f>
        <v>Transfer Station</v>
      </c>
      <c r="F178" s="11">
        <f t="shared" si="3"/>
        <v>0</v>
      </c>
      <c r="G178" t="s">
        <v>6</v>
      </c>
      <c r="H178" s="11">
        <f>IFERROR(INDEX(EndOfLife!$L$64:$P$78,MATCH($A178,EndOfLife!$A$64:$A$78,0),MATCH($G178,EndOfLife!$L$63:$P$63,0))*INDEX(PlasticsUse!$B$27:$L$41,MATCH('CompilationCalcs - Di et al.EOL'!$A178,PlasticsUse!$A$27:$A$41,0),MATCH('CompilationCalcs - Di et al.EOL'!$C178,PlasticsUse!$B$26:$L$26,0)),0)</f>
        <v>0.14812500475840959</v>
      </c>
    </row>
    <row r="179" spans="1:8" x14ac:dyDescent="0.2">
      <c r="A179" t="s">
        <v>1</v>
      </c>
      <c r="B179" t="s">
        <v>207</v>
      </c>
      <c r="C179" t="s">
        <v>99</v>
      </c>
      <c r="D179" s="11"/>
      <c r="E179" s="11" t="str">
        <f>IF('CompilationCalcs - Di et al.EOL'!C179=PlasticsUse!$D$93,Conversions!$A$17,IF('CompilationCalcs - Di et al.EOL'!C179=PlasticsUse!$L$93,Conversions!$A$18,Conversions!$A$16))</f>
        <v>Transfer Station</v>
      </c>
      <c r="F179" s="11">
        <f t="shared" si="3"/>
        <v>0</v>
      </c>
      <c r="G179" t="s">
        <v>6</v>
      </c>
      <c r="H179" s="11">
        <f>IFERROR(INDEX(EndOfLife!$L$64:$P$78,MATCH($A179,EndOfLife!$A$64:$A$78,0),MATCH($G179,EndOfLife!$L$63:$P$63,0))*INDEX(PlasticsUse!$B$27:$L$41,MATCH('CompilationCalcs - Di et al.EOL'!$A179,PlasticsUse!$A$27:$A$41,0),MATCH('CompilationCalcs - Di et al.EOL'!$C179,PlasticsUse!$B$26:$L$26,0)),0)</f>
        <v>0.14812500475840959</v>
      </c>
    </row>
    <row r="180" spans="1:8" x14ac:dyDescent="0.2">
      <c r="A180" t="s">
        <v>1</v>
      </c>
      <c r="B180" t="s">
        <v>207</v>
      </c>
      <c r="C180" t="s">
        <v>69</v>
      </c>
      <c r="D180" s="11"/>
      <c r="E180" s="11" t="str">
        <f>IF('CompilationCalcs - Di et al.EOL'!C180=PlasticsUse!$D$93,Conversions!$A$17,IF('CompilationCalcs - Di et al.EOL'!C180=PlasticsUse!$L$93,Conversions!$A$18,Conversions!$A$16))</f>
        <v>Automotive Shredding Facility</v>
      </c>
      <c r="F180" s="11">
        <f t="shared" si="3"/>
        <v>0</v>
      </c>
      <c r="G180" t="s">
        <v>6</v>
      </c>
      <c r="H180" s="11">
        <f>IFERROR(INDEX(EndOfLife!$L$64:$P$78,MATCH($A180,EndOfLife!$A$64:$A$78,0),MATCH($G180,EndOfLife!$L$63:$P$63,0))*INDEX(PlasticsUse!$B$27:$L$41,MATCH('CompilationCalcs - Di et al.EOL'!$A180,PlasticsUse!$A$27:$A$41,0),MATCH('CompilationCalcs - Di et al.EOL'!$C180,PlasticsUse!$B$26:$L$26,0)),0)</f>
        <v>0.14812500475840959</v>
      </c>
    </row>
    <row r="181" spans="1:8" x14ac:dyDescent="0.2">
      <c r="A181" t="s">
        <v>1</v>
      </c>
      <c r="B181" t="s">
        <v>207</v>
      </c>
      <c r="C181" t="s">
        <v>100</v>
      </c>
      <c r="D181" s="11"/>
      <c r="E181" s="11" t="str">
        <f>IF('CompilationCalcs - Di et al.EOL'!C181=PlasticsUse!$D$93,Conversions!$A$17,IF('CompilationCalcs - Di et al.EOL'!C181=PlasticsUse!$L$93,Conversions!$A$18,Conversions!$A$16))</f>
        <v>Transfer Station</v>
      </c>
      <c r="F181" s="11">
        <f t="shared" si="3"/>
        <v>0</v>
      </c>
      <c r="G181" t="s">
        <v>6</v>
      </c>
      <c r="H181" s="11">
        <f>IFERROR(INDEX(EndOfLife!$L$64:$P$78,MATCH($A181,EndOfLife!$A$64:$A$78,0),MATCH($G181,EndOfLife!$L$63:$P$63,0))*INDEX(PlasticsUse!$B$27:$L$41,MATCH('CompilationCalcs - Di et al.EOL'!$A181,PlasticsUse!$A$27:$A$41,0),MATCH('CompilationCalcs - Di et al.EOL'!$C181,PlasticsUse!$B$26:$L$26,0)),0)</f>
        <v>0.14812500475840959</v>
      </c>
    </row>
    <row r="182" spans="1:8" x14ac:dyDescent="0.2">
      <c r="A182" t="s">
        <v>1</v>
      </c>
      <c r="B182" t="s">
        <v>207</v>
      </c>
      <c r="C182" t="s">
        <v>39</v>
      </c>
      <c r="D182" s="11"/>
      <c r="E182" s="11" t="str">
        <f>IF('CompilationCalcs - Di et al.EOL'!C182=PlasticsUse!$D$93,Conversions!$A$17,IF('CompilationCalcs - Di et al.EOL'!C182=PlasticsUse!$L$93,Conversions!$A$18,Conversions!$A$16))</f>
        <v>Transfer Station</v>
      </c>
      <c r="F182" s="11">
        <f t="shared" si="3"/>
        <v>0</v>
      </c>
      <c r="G182" t="s">
        <v>6</v>
      </c>
      <c r="H182" s="11">
        <f>IFERROR(INDEX(EndOfLife!$L$64:$P$78,MATCH($A182,EndOfLife!$A$64:$A$78,0),MATCH($G182,EndOfLife!$L$63:$P$63,0))*INDEX(PlasticsUse!$B$27:$L$41,MATCH('CompilationCalcs - Di et al.EOL'!$A182,PlasticsUse!$A$27:$A$41,0),MATCH('CompilationCalcs - Di et al.EOL'!$C182,PlasticsUse!$B$26:$L$26,0)),0)</f>
        <v>0.14812500475840959</v>
      </c>
    </row>
    <row r="183" spans="1:8" x14ac:dyDescent="0.2">
      <c r="A183" t="s">
        <v>1</v>
      </c>
      <c r="B183" t="s">
        <v>207</v>
      </c>
      <c r="C183" t="s">
        <v>68</v>
      </c>
      <c r="D183" s="11"/>
      <c r="E183" s="11" t="str">
        <f>IF('CompilationCalcs - Di et al.EOL'!C183=PlasticsUse!$D$93,Conversions!$A$17,IF('CompilationCalcs - Di et al.EOL'!C183=PlasticsUse!$L$93,Conversions!$A$18,Conversions!$A$16))</f>
        <v>Transfer Station</v>
      </c>
      <c r="F183" s="11">
        <f t="shared" si="3"/>
        <v>0</v>
      </c>
      <c r="G183" t="s">
        <v>6</v>
      </c>
      <c r="H183" s="11">
        <f>IFERROR(INDEX(EndOfLife!$L$64:$P$78,MATCH($A183,EndOfLife!$A$64:$A$78,0),MATCH($G183,EndOfLife!$L$63:$P$63,0))*INDEX(PlasticsUse!$B$27:$L$41,MATCH('CompilationCalcs - Di et al.EOL'!$A183,PlasticsUse!$A$27:$A$41,0),MATCH('CompilationCalcs - Di et al.EOL'!$C183,PlasticsUse!$B$26:$L$26,0)),0)</f>
        <v>0.14812500475840959</v>
      </c>
    </row>
    <row r="184" spans="1:8" x14ac:dyDescent="0.2">
      <c r="A184" t="s">
        <v>1</v>
      </c>
      <c r="B184" t="s">
        <v>207</v>
      </c>
      <c r="C184" t="s">
        <v>63</v>
      </c>
      <c r="D184" s="11"/>
      <c r="E184" s="11" t="str">
        <f>IF('CompilationCalcs - Di et al.EOL'!C184=PlasticsUse!$D$93,Conversions!$A$17,IF('CompilationCalcs - Di et al.EOL'!C184=PlasticsUse!$L$93,Conversions!$A$18,Conversions!$A$16))</f>
        <v>Transfer Station</v>
      </c>
      <c r="F184" s="11">
        <f t="shared" si="3"/>
        <v>0</v>
      </c>
      <c r="G184" t="s">
        <v>6</v>
      </c>
      <c r="H184" s="11">
        <f>IFERROR(INDEX(EndOfLife!$L$64:$P$78,MATCH($A184,EndOfLife!$A$64:$A$78,0),MATCH($G184,EndOfLife!$L$63:$P$63,0))*INDEX(PlasticsUse!$B$27:$L$41,MATCH('CompilationCalcs - Di et al.EOL'!$A184,PlasticsUse!$A$27:$A$41,0),MATCH('CompilationCalcs - Di et al.EOL'!$C184,PlasticsUse!$B$26:$L$26,0)),0)</f>
        <v>0.14812500475840959</v>
      </c>
    </row>
    <row r="185" spans="1:8" x14ac:dyDescent="0.2">
      <c r="A185" t="s">
        <v>1</v>
      </c>
      <c r="B185" t="s">
        <v>207</v>
      </c>
      <c r="C185" t="s">
        <v>92</v>
      </c>
      <c r="D185" s="11"/>
      <c r="E185" s="11" t="str">
        <f>IF('CompilationCalcs - Di et al.EOL'!C185=PlasticsUse!$D$93,Conversions!$A$17,IF('CompilationCalcs - Di et al.EOL'!C185=PlasticsUse!$L$93,Conversions!$A$18,Conversions!$A$16))</f>
        <v>Transfer Station</v>
      </c>
      <c r="F185" s="11">
        <f t="shared" si="3"/>
        <v>0</v>
      </c>
      <c r="G185" t="s">
        <v>6</v>
      </c>
      <c r="H185" s="11">
        <f>IFERROR(INDEX(EndOfLife!$L$64:$P$78,MATCH($A185,EndOfLife!$A$64:$A$78,0),MATCH($G185,EndOfLife!$L$63:$P$63,0))*INDEX(PlasticsUse!$B$27:$L$41,MATCH('CompilationCalcs - Di et al.EOL'!$A185,PlasticsUse!$A$27:$A$41,0),MATCH('CompilationCalcs - Di et al.EOL'!$C185,PlasticsUse!$B$26:$L$26,0)),0)</f>
        <v>0.14812500475840959</v>
      </c>
    </row>
    <row r="186" spans="1:8" x14ac:dyDescent="0.2">
      <c r="A186" t="s">
        <v>1</v>
      </c>
      <c r="B186" t="s">
        <v>207</v>
      </c>
      <c r="C186" t="s">
        <v>103</v>
      </c>
      <c r="D186" s="11"/>
      <c r="E186" s="11" t="str">
        <f>IF('CompilationCalcs - Di et al.EOL'!C186=PlasticsUse!$D$93,Conversions!$A$17,IF('CompilationCalcs - Di et al.EOL'!C186=PlasticsUse!$L$93,Conversions!$A$18,Conversions!$A$16))</f>
        <v>Transfer Station</v>
      </c>
      <c r="F186" s="11">
        <f t="shared" si="3"/>
        <v>0</v>
      </c>
      <c r="G186" t="s">
        <v>6</v>
      </c>
      <c r="H186" s="11">
        <f>IFERROR(INDEX(EndOfLife!$L$64:$P$78,MATCH($A186,EndOfLife!$A$64:$A$78,0),MATCH($G186,EndOfLife!$L$63:$P$63,0))*INDEX(PlasticsUse!$B$27:$L$41,MATCH('CompilationCalcs - Di et al.EOL'!$A186,PlasticsUse!$A$27:$A$41,0),MATCH('CompilationCalcs - Di et al.EOL'!$C186,PlasticsUse!$B$26:$L$26,0)),0)</f>
        <v>0</v>
      </c>
    </row>
    <row r="187" spans="1:8" x14ac:dyDescent="0.2">
      <c r="A187" t="s">
        <v>1</v>
      </c>
      <c r="B187" t="s">
        <v>207</v>
      </c>
      <c r="C187" t="s">
        <v>86</v>
      </c>
      <c r="D187" s="11"/>
      <c r="E187" s="11" t="str">
        <f>IF('CompilationCalcs - Di et al.EOL'!C187=PlasticsUse!$D$93,Conversions!$A$17,IF('CompilationCalcs - Di et al.EOL'!C187=PlasticsUse!$L$93,Conversions!$A$18,Conversions!$A$16))</f>
        <v>Transfer Station</v>
      </c>
      <c r="F187" s="11">
        <f t="shared" si="3"/>
        <v>0</v>
      </c>
      <c r="G187" t="s">
        <v>6</v>
      </c>
      <c r="H187" s="11">
        <f>IFERROR(INDEX(EndOfLife!$L$64:$P$78,MATCH($A187,EndOfLife!$A$64:$A$78,0),MATCH($G187,EndOfLife!$L$63:$P$63,0))*INDEX(PlasticsUse!$B$27:$L$41,MATCH('CompilationCalcs - Di et al.EOL'!$A187,PlasticsUse!$A$27:$A$41,0),MATCH('CompilationCalcs - Di et al.EOL'!$C187,PlasticsUse!$B$26:$L$26,0)),0)</f>
        <v>0.14812500475840959</v>
      </c>
    </row>
    <row r="188" spans="1:8" x14ac:dyDescent="0.2">
      <c r="A188" t="s">
        <v>1</v>
      </c>
      <c r="B188" t="s">
        <v>207</v>
      </c>
      <c r="C188" t="s">
        <v>18</v>
      </c>
      <c r="D188" s="11"/>
      <c r="E188" s="11" t="str">
        <f>IF('CompilationCalcs - Di et al.EOL'!C188=PlasticsUse!$D$93,Conversions!$A$17,IF('CompilationCalcs - Di et al.EOL'!C188=PlasticsUse!$L$93,Conversions!$A$18,Conversions!$A$16))</f>
        <v>N/A</v>
      </c>
      <c r="F188" s="11">
        <f t="shared" si="3"/>
        <v>0</v>
      </c>
      <c r="G188" t="s">
        <v>287</v>
      </c>
      <c r="H188" s="11">
        <f>IFERROR(INDEX(EndOfLife!$L$64:$P$78,MATCH($A188,EndOfLife!$A$64:$A$78,0),MATCH($G188,EndOfLife!$L$63:$P$63,0))*INDEX(PlasticsUse!$B$27:$L$41,MATCH('CompilationCalcs - Di et al.EOL'!$A188,PlasticsUse!$A$27:$A$41,0),MATCH('CompilationCalcs - Di et al.EOL'!$C188,PlasticsUse!$B$26:$L$26,0)),0)</f>
        <v>0</v>
      </c>
    </row>
    <row r="189" spans="1:8" ht="17" x14ac:dyDescent="0.2">
      <c r="A189" t="s">
        <v>1</v>
      </c>
      <c r="B189" t="s">
        <v>207</v>
      </c>
      <c r="E189" s="11" t="s">
        <v>191</v>
      </c>
      <c r="F189" s="11">
        <f t="shared" si="3"/>
        <v>0</v>
      </c>
      <c r="G189" s="28" t="s">
        <v>360</v>
      </c>
      <c r="H189" s="11">
        <f>INDEX(EndOfLife!$T$64:$X$78,MATCH('CompilationCalcs - Di et al.EOL'!$A189,EndOfLife!$S$64:$S$78,0),MATCH('CompilationCalcs - Di et al.EOL'!$G189,EndOfLife!$T$63:$X$63,0))</f>
        <v>0.18426848892856054</v>
      </c>
    </row>
    <row r="190" spans="1:8" ht="17" x14ac:dyDescent="0.2">
      <c r="A190" t="s">
        <v>1</v>
      </c>
      <c r="B190" t="s">
        <v>207</v>
      </c>
      <c r="E190" s="11" t="s">
        <v>191</v>
      </c>
      <c r="F190" s="11">
        <f t="shared" si="3"/>
        <v>0</v>
      </c>
      <c r="G190" s="28" t="s">
        <v>361</v>
      </c>
      <c r="H190" s="11">
        <f>INDEX(EndOfLife!$T$64:$X$78,MATCH('CompilationCalcs - Di et al.EOL'!$A190,EndOfLife!$S$64:$S$78,0),MATCH('CompilationCalcs - Di et al.EOL'!$G190,EndOfLife!$T$63:$X$63,0))</f>
        <v>9.1743595784060952E-2</v>
      </c>
    </row>
    <row r="191" spans="1:8" ht="17" x14ac:dyDescent="0.2">
      <c r="A191" t="s">
        <v>1</v>
      </c>
      <c r="B191" t="s">
        <v>207</v>
      </c>
      <c r="E191" s="11" t="s">
        <v>360</v>
      </c>
      <c r="F191" s="11">
        <f t="shared" si="3"/>
        <v>0</v>
      </c>
      <c r="G191" s="28" t="s">
        <v>192</v>
      </c>
      <c r="H191" s="11">
        <f>INDEX(EndOfLife!$T$64:$X$78,MATCH('CompilationCalcs - Di et al.EOL'!$A191,EndOfLife!$S$64:$S$78,0),MATCH('CompilationCalcs - Di et al.EOL'!$G191,EndOfLife!$T$63:$X$63,0))</f>
        <v>0.18426848892856054</v>
      </c>
    </row>
    <row r="192" spans="1:8" ht="17" x14ac:dyDescent="0.2">
      <c r="A192" t="s">
        <v>1</v>
      </c>
      <c r="B192" t="s">
        <v>207</v>
      </c>
      <c r="E192" s="11" t="s">
        <v>191</v>
      </c>
      <c r="F192" s="11">
        <f t="shared" si="3"/>
        <v>0</v>
      </c>
      <c r="G192" s="28" t="s">
        <v>193</v>
      </c>
      <c r="H192" s="11">
        <f>INDEX(EndOfLife!$T$64:$X$78,MATCH('CompilationCalcs - Di et al.EOL'!$A192,EndOfLife!$S$64:$S$78,0),MATCH('CompilationCalcs - Di et al.EOL'!$G192,EndOfLife!$T$63:$X$63,0))</f>
        <v>5.4060614249980474E-3</v>
      </c>
    </row>
    <row r="193" spans="1:8" x14ac:dyDescent="0.2">
      <c r="A193" t="s">
        <v>10</v>
      </c>
      <c r="B193" t="s">
        <v>206</v>
      </c>
      <c r="C193" t="s">
        <v>38</v>
      </c>
      <c r="D193" s="11">
        <f>INDEX(PlasticsUse!$B$48:$L$64,MATCH('CompilationCalcs - Di et al.EOL'!$A193,PlasticsUse!$A$48:$A$64,0),MATCH('CompilationCalcs - Di et al.EOL'!$C193,PlasticsUse!$B$47:$L$47,0))</f>
        <v>0.20617443319212375</v>
      </c>
      <c r="E193" s="11" t="str">
        <f>IF('CompilationCalcs - Di et al.EOL'!C193=PlasticsUse!$D$93,Conversions!$A$17,IF('CompilationCalcs - Di et al.EOL'!C193=PlasticsUse!$L$93,Conversions!$A$18,Conversions!$A$16))</f>
        <v>Transfer Station</v>
      </c>
      <c r="F193" s="11">
        <f>INDEX('In-Use Stocks'!$M$81:$V$97,MATCH('CompilationCalcs - Di et al.EOL'!$A193,'In-Use Stocks'!$L$81:$L$97,0),MATCH('CompilationCalcs - Di et al.EOL'!$C193,'In-Use Stocks'!$M$80:$V$80,0))</f>
        <v>8.7229638114779948E-2</v>
      </c>
      <c r="G193" t="s">
        <v>191</v>
      </c>
      <c r="H193" s="11">
        <f>IFERROR(INDEX(EndOfLife!$L$64:$P$78,MATCH($A193,EndOfLife!$A$64:$A$78,0),MATCH($G193,EndOfLife!$L$63:$P$63,0))*INDEX(PlasticsUse!$B$27:$L$41,MATCH('CompilationCalcs - Di et al.EOL'!$A193,PlasticsUse!$A$27:$A$41,0),MATCH('CompilationCalcs - Di et al.EOL'!$C193,PlasticsUse!$B$26:$L$26,0)),0)</f>
        <v>1.3465118581020181E-3</v>
      </c>
    </row>
    <row r="194" spans="1:8" x14ac:dyDescent="0.2">
      <c r="A194" t="s">
        <v>10</v>
      </c>
      <c r="B194" t="s">
        <v>206</v>
      </c>
      <c r="C194" t="s">
        <v>99</v>
      </c>
      <c r="D194" s="11">
        <f>INDEX(PlasticsUse!$B$48:$L$64,MATCH('CompilationCalcs - Di et al.EOL'!$A194,PlasticsUse!$A$48:$A$64,0),MATCH('CompilationCalcs - Di et al.EOL'!$C194,PlasticsUse!$B$47:$L$47,0))</f>
        <v>0.20617443319212375</v>
      </c>
      <c r="E194" s="11" t="str">
        <f>IF('CompilationCalcs - Di et al.EOL'!C194=PlasticsUse!$D$93,Conversions!$A$17,IF('CompilationCalcs - Di et al.EOL'!C194=PlasticsUse!$L$93,Conversions!$A$18,Conversions!$A$16))</f>
        <v>Transfer Station</v>
      </c>
      <c r="F194" s="11">
        <f>INDEX('In-Use Stocks'!$M$81:$V$97,MATCH('CompilationCalcs - Di et al.EOL'!$A194,'In-Use Stocks'!$L$81:$L$97,0),MATCH('CompilationCalcs - Di et al.EOL'!$C194,'In-Use Stocks'!$M$80:$V$80,0))</f>
        <v>0.21224463585269776</v>
      </c>
      <c r="G194" t="s">
        <v>191</v>
      </c>
      <c r="H194" s="11">
        <f>IFERROR(INDEX(EndOfLife!$L$64:$P$78,MATCH($A194,EndOfLife!$A$64:$A$78,0),MATCH($G194,EndOfLife!$L$63:$P$63,0))*INDEX(PlasticsUse!$B$27:$L$41,MATCH('CompilationCalcs - Di et al.EOL'!$A194,PlasticsUse!$A$27:$A$41,0),MATCH('CompilationCalcs - Di et al.EOL'!$C194,PlasticsUse!$B$26:$L$26,0)),0)</f>
        <v>1.3465118581020181E-3</v>
      </c>
    </row>
    <row r="195" spans="1:8" x14ac:dyDescent="0.2">
      <c r="A195" t="s">
        <v>10</v>
      </c>
      <c r="B195" t="s">
        <v>206</v>
      </c>
      <c r="C195" t="s">
        <v>69</v>
      </c>
      <c r="D195" s="11">
        <f>INDEX(PlasticsUse!$B$48:$L$64,MATCH('CompilationCalcs - Di et al.EOL'!$A195,PlasticsUse!$A$48:$A$64,0),MATCH('CompilationCalcs - Di et al.EOL'!$C195,PlasticsUse!$B$47:$L$47,0))</f>
        <v>0.20617443319212375</v>
      </c>
      <c r="E195" s="11" t="str">
        <f>IF('CompilationCalcs - Di et al.EOL'!C195=PlasticsUse!$D$93,Conversions!$A$17,IF('CompilationCalcs - Di et al.EOL'!C195=PlasticsUse!$L$93,Conversions!$A$18,Conversions!$A$16))</f>
        <v>Automotive Shredding Facility</v>
      </c>
      <c r="F195" s="11">
        <f>INDEX('In-Use Stocks'!$M$81:$V$97,MATCH('CompilationCalcs - Di et al.EOL'!$A195,'In-Use Stocks'!$L$81:$L$97,0),MATCH('CompilationCalcs - Di et al.EOL'!$C195,'In-Use Stocks'!$M$80:$V$80,0))</f>
        <v>0.23014749972219758</v>
      </c>
      <c r="G195" t="s">
        <v>191</v>
      </c>
      <c r="H195" s="11">
        <f>IFERROR(INDEX(EndOfLife!$L$64:$P$78,MATCH($A195,EndOfLife!$A$64:$A$78,0),MATCH($G195,EndOfLife!$L$63:$P$63,0))*INDEX(PlasticsUse!$B$27:$L$41,MATCH('CompilationCalcs - Di et al.EOL'!$A195,PlasticsUse!$A$27:$A$41,0),MATCH('CompilationCalcs - Di et al.EOL'!$C195,PlasticsUse!$B$26:$L$26,0)),0)</f>
        <v>1.3465118581020181E-3</v>
      </c>
    </row>
    <row r="196" spans="1:8" x14ac:dyDescent="0.2">
      <c r="A196" t="s">
        <v>10</v>
      </c>
      <c r="B196" t="s">
        <v>206</v>
      </c>
      <c r="C196" t="s">
        <v>100</v>
      </c>
      <c r="D196" s="11">
        <f>INDEX(PlasticsUse!$B$48:$L$64,MATCH('CompilationCalcs - Di et al.EOL'!$A196,PlasticsUse!$A$48:$A$64,0),MATCH('CompilationCalcs - Di et al.EOL'!$C196,PlasticsUse!$B$47:$L$47,0))</f>
        <v>0.20617443319212375</v>
      </c>
      <c r="E196" s="11" t="str">
        <f>IF('CompilationCalcs - Di et al.EOL'!C196=PlasticsUse!$D$93,Conversions!$A$17,IF('CompilationCalcs - Di et al.EOL'!C196=PlasticsUse!$L$93,Conversions!$A$18,Conversions!$A$16))</f>
        <v>Transfer Station</v>
      </c>
      <c r="F196" s="11">
        <f>INDEX('In-Use Stocks'!$M$81:$V$97,MATCH('CompilationCalcs - Di et al.EOL'!$A196,'In-Use Stocks'!$L$81:$L$97,0),MATCH('CompilationCalcs - Di et al.EOL'!$C196,'In-Use Stocks'!$M$80:$V$80,0))</f>
        <v>0.16895983316979593</v>
      </c>
      <c r="G196" t="s">
        <v>191</v>
      </c>
      <c r="H196" s="11">
        <f>IFERROR(INDEX(EndOfLife!$L$64:$P$78,MATCH($A196,EndOfLife!$A$64:$A$78,0),MATCH($G196,EndOfLife!$L$63:$P$63,0))*INDEX(PlasticsUse!$B$27:$L$41,MATCH('CompilationCalcs - Di et al.EOL'!$A196,PlasticsUse!$A$27:$A$41,0),MATCH('CompilationCalcs - Di et al.EOL'!$C196,PlasticsUse!$B$26:$L$26,0)),0)</f>
        <v>1.3465118581020181E-3</v>
      </c>
    </row>
    <row r="197" spans="1:8" x14ac:dyDescent="0.2">
      <c r="A197" t="s">
        <v>10</v>
      </c>
      <c r="B197" t="s">
        <v>206</v>
      </c>
      <c r="C197" t="s">
        <v>39</v>
      </c>
      <c r="D197" s="11">
        <f>INDEX(PlasticsUse!$B$48:$L$64,MATCH('CompilationCalcs - Di et al.EOL'!$A197,PlasticsUse!$A$48:$A$64,0),MATCH('CompilationCalcs - Di et al.EOL'!$C197,PlasticsUse!$B$47:$L$47,0))</f>
        <v>0.20617443319212375</v>
      </c>
      <c r="E197" s="11" t="str">
        <f>IF('CompilationCalcs - Di et al.EOL'!C197=PlasticsUse!$D$93,Conversions!$A$17,IF('CompilationCalcs - Di et al.EOL'!C197=PlasticsUse!$L$93,Conversions!$A$18,Conversions!$A$16))</f>
        <v>Transfer Station</v>
      </c>
      <c r="F197" s="11">
        <f>INDEX('In-Use Stocks'!$M$81:$V$97,MATCH('CompilationCalcs - Di et al.EOL'!$A197,'In-Use Stocks'!$L$81:$L$97,0),MATCH('CompilationCalcs - Di et al.EOL'!$C197,'In-Use Stocks'!$M$80:$V$80,0))</f>
        <v>0.26992462681493734</v>
      </c>
      <c r="G197" t="s">
        <v>191</v>
      </c>
      <c r="H197" s="11">
        <f>IFERROR(INDEX(EndOfLife!$L$64:$P$78,MATCH($A197,EndOfLife!$A$64:$A$78,0),MATCH($G197,EndOfLife!$L$63:$P$63,0))*INDEX(PlasticsUse!$B$27:$L$41,MATCH('CompilationCalcs - Di et al.EOL'!$A197,PlasticsUse!$A$27:$A$41,0),MATCH('CompilationCalcs - Di et al.EOL'!$C197,PlasticsUse!$B$26:$L$26,0)),0)</f>
        <v>1.3465118581020181E-3</v>
      </c>
    </row>
    <row r="198" spans="1:8" x14ac:dyDescent="0.2">
      <c r="A198" t="s">
        <v>10</v>
      </c>
      <c r="B198" t="s">
        <v>206</v>
      </c>
      <c r="C198" t="s">
        <v>68</v>
      </c>
      <c r="D198" s="11">
        <f>INDEX(PlasticsUse!$B$48:$L$64,MATCH('CompilationCalcs - Di et al.EOL'!$A198,PlasticsUse!$A$48:$A$64,0),MATCH('CompilationCalcs - Di et al.EOL'!$C198,PlasticsUse!$B$47:$L$47,0))</f>
        <v>0.20617443319212375</v>
      </c>
      <c r="E198" s="11" t="str">
        <f>IF('CompilationCalcs - Di et al.EOL'!C198=PlasticsUse!$D$93,Conversions!$A$17,IF('CompilationCalcs - Di et al.EOL'!C198=PlasticsUse!$L$93,Conversions!$A$18,Conversions!$A$16))</f>
        <v>Transfer Station</v>
      </c>
      <c r="F198" s="11">
        <f>INDEX('In-Use Stocks'!$M$81:$V$97,MATCH('CompilationCalcs - Di et al.EOL'!$A198,'In-Use Stocks'!$L$81:$L$97,0),MATCH('CompilationCalcs - Di et al.EOL'!$C198,'In-Use Stocks'!$M$80:$V$80,0))</f>
        <v>0.23981649612723338</v>
      </c>
      <c r="G198" t="s">
        <v>333</v>
      </c>
      <c r="H198" s="11">
        <f>IFERROR(INDEX(EndOfLife!$L$64:$P$78,MATCH($A198,EndOfLife!$A$64:$A$78,0),MATCH($G198,EndOfLife!$L$63:$P$63,0))*INDEX(PlasticsUse!$B$27:$L$41,MATCH('CompilationCalcs - Di et al.EOL'!$A198,PlasticsUse!$A$27:$A$41,0),MATCH('CompilationCalcs - Di et al.EOL'!$C198,PlasticsUse!$B$26:$L$26,0)),0)</f>
        <v>5.7509738182800838E-3</v>
      </c>
    </row>
    <row r="199" spans="1:8" x14ac:dyDescent="0.2">
      <c r="A199" t="s">
        <v>10</v>
      </c>
      <c r="B199" t="s">
        <v>206</v>
      </c>
      <c r="C199" t="s">
        <v>63</v>
      </c>
      <c r="D199" s="11">
        <f>INDEX(PlasticsUse!$B$48:$L$64,MATCH('CompilationCalcs - Di et al.EOL'!$A199,PlasticsUse!$A$48:$A$64,0),MATCH('CompilationCalcs - Di et al.EOL'!$C199,PlasticsUse!$B$47:$L$47,0))</f>
        <v>0.20617443319212375</v>
      </c>
      <c r="E199" s="11" t="str">
        <f>IF('CompilationCalcs - Di et al.EOL'!C199=PlasticsUse!$D$93,Conversions!$A$17,IF('CompilationCalcs - Di et al.EOL'!C199=PlasticsUse!$L$93,Conversions!$A$18,Conversions!$A$16))</f>
        <v>Transfer Station</v>
      </c>
      <c r="F199" s="11">
        <f>INDEX('In-Use Stocks'!$M$81:$V$97,MATCH('CompilationCalcs - Di et al.EOL'!$A199,'In-Use Stocks'!$L$81:$L$97,0),MATCH('CompilationCalcs - Di et al.EOL'!$C199,'In-Use Stocks'!$M$80:$V$80,0))</f>
        <v>0.21945207345504694</v>
      </c>
      <c r="G199" t="s">
        <v>191</v>
      </c>
      <c r="H199" s="11">
        <f>IFERROR(INDEX(EndOfLife!$L$64:$P$78,MATCH($A199,EndOfLife!$A$64:$A$78,0),MATCH($G199,EndOfLife!$L$63:$P$63,0))*INDEX(PlasticsUse!$B$27:$L$41,MATCH('CompilationCalcs - Di et al.EOL'!$A199,PlasticsUse!$A$27:$A$41,0),MATCH('CompilationCalcs - Di et al.EOL'!$C199,PlasticsUse!$B$26:$L$26,0)),0)</f>
        <v>1.3465118581020181E-3</v>
      </c>
    </row>
    <row r="200" spans="1:8" x14ac:dyDescent="0.2">
      <c r="A200" t="s">
        <v>10</v>
      </c>
      <c r="B200" t="s">
        <v>206</v>
      </c>
      <c r="C200" t="s">
        <v>92</v>
      </c>
      <c r="D200" s="11">
        <f>INDEX(PlasticsUse!$B$48:$L$64,MATCH('CompilationCalcs - Di et al.EOL'!$A200,PlasticsUse!$A$48:$A$64,0),MATCH('CompilationCalcs - Di et al.EOL'!$C200,PlasticsUse!$B$47:$L$47,0))</f>
        <v>0.20617443319212375</v>
      </c>
      <c r="E200" s="11" t="str">
        <f>IF('CompilationCalcs - Di et al.EOL'!C200=PlasticsUse!$D$93,Conversions!$A$17,IF('CompilationCalcs - Di et al.EOL'!C200=PlasticsUse!$L$93,Conversions!$A$18,Conversions!$A$16))</f>
        <v>Transfer Station</v>
      </c>
      <c r="F200" s="11">
        <f>INDEX('In-Use Stocks'!$M$81:$V$97,MATCH('CompilationCalcs - Di et al.EOL'!$A200,'In-Use Stocks'!$L$81:$L$97,0),MATCH('CompilationCalcs - Di et al.EOL'!$C200,'In-Use Stocks'!$M$80:$V$80,0))</f>
        <v>0.18986991853623952</v>
      </c>
      <c r="G200" t="s">
        <v>191</v>
      </c>
      <c r="H200" s="11">
        <f>IFERROR(INDEX(EndOfLife!$L$64:$P$78,MATCH($A200,EndOfLife!$A$64:$A$78,0),MATCH($G200,EndOfLife!$L$63:$P$63,0))*INDEX(PlasticsUse!$B$27:$L$41,MATCH('CompilationCalcs - Di et al.EOL'!$A200,PlasticsUse!$A$27:$A$41,0),MATCH('CompilationCalcs - Di et al.EOL'!$C200,PlasticsUse!$B$26:$L$26,0)),0)</f>
        <v>1.3465118581020181E-3</v>
      </c>
    </row>
    <row r="201" spans="1:8" x14ac:dyDescent="0.2">
      <c r="A201" t="s">
        <v>10</v>
      </c>
      <c r="B201" t="s">
        <v>206</v>
      </c>
      <c r="C201" t="s">
        <v>103</v>
      </c>
      <c r="D201" s="11">
        <f>INDEX(PlasticsUse!$B$48:$L$64,MATCH('CompilationCalcs - Di et al.EOL'!$A201,PlasticsUse!$A$48:$A$64,0),MATCH('CompilationCalcs - Di et al.EOL'!$C201,PlasticsUse!$B$47:$L$47,0))</f>
        <v>0</v>
      </c>
      <c r="E201" s="11" t="str">
        <f>IF('CompilationCalcs - Di et al.EOL'!C201=PlasticsUse!$D$93,Conversions!$A$17,IF('CompilationCalcs - Di et al.EOL'!C201=PlasticsUse!$L$93,Conversions!$A$18,Conversions!$A$16))</f>
        <v>Transfer Station</v>
      </c>
      <c r="F201" s="11">
        <f>INDEX('In-Use Stocks'!$M$81:$V$97,MATCH('CompilationCalcs - Di et al.EOL'!$A201,'In-Use Stocks'!$L$81:$L$97,0),MATCH('CompilationCalcs - Di et al.EOL'!$C201,'In-Use Stocks'!$M$80:$V$80,0))</f>
        <v>0</v>
      </c>
      <c r="G201" t="s">
        <v>191</v>
      </c>
      <c r="H201" s="11">
        <f>IFERROR(INDEX(EndOfLife!$L$64:$P$78,MATCH($A201,EndOfLife!$A$64:$A$78,0),MATCH($G201,EndOfLife!$L$63:$P$63,0))*INDEX(PlasticsUse!$B$27:$L$41,MATCH('CompilationCalcs - Di et al.EOL'!$A201,PlasticsUse!$A$27:$A$41,0),MATCH('CompilationCalcs - Di et al.EOL'!$C201,PlasticsUse!$B$26:$L$26,0)),0)</f>
        <v>0</v>
      </c>
    </row>
    <row r="202" spans="1:8" x14ac:dyDescent="0.2">
      <c r="A202" t="s">
        <v>10</v>
      </c>
      <c r="B202" t="s">
        <v>206</v>
      </c>
      <c r="C202" t="s">
        <v>86</v>
      </c>
      <c r="D202" s="11">
        <f>INDEX(PlasticsUse!$B$48:$L$64,MATCH('CompilationCalcs - Di et al.EOL'!$A202,PlasticsUse!$A$48:$A$64,0),MATCH('CompilationCalcs - Di et al.EOL'!$C202,PlasticsUse!$B$47:$L$47,0))</f>
        <v>0.20617443319212375</v>
      </c>
      <c r="E202" s="11" t="str">
        <f>IF('CompilationCalcs - Di et al.EOL'!C202=PlasticsUse!$D$93,Conversions!$A$17,IF('CompilationCalcs - Di et al.EOL'!C202=PlasticsUse!$L$93,Conversions!$A$18,Conversions!$A$16))</f>
        <v>Transfer Station</v>
      </c>
      <c r="F202" s="11">
        <f>INDEX('In-Use Stocks'!$M$81:$V$97,MATCH('CompilationCalcs - Di et al.EOL'!$A202,'In-Use Stocks'!$L$81:$L$97,0),MATCH('CompilationCalcs - Di et al.EOL'!$C202,'In-Use Stocks'!$M$80:$V$80,0))</f>
        <v>0.18986991853623952</v>
      </c>
      <c r="G202" t="s">
        <v>191</v>
      </c>
      <c r="H202" s="11">
        <f>IFERROR(INDEX(EndOfLife!$L$64:$P$78,MATCH($A202,EndOfLife!$A$64:$A$78,0),MATCH($G202,EndOfLife!$L$63:$P$63,0))*INDEX(PlasticsUse!$B$27:$L$41,MATCH('CompilationCalcs - Di et al.EOL'!$A202,PlasticsUse!$A$27:$A$41,0),MATCH('CompilationCalcs - Di et al.EOL'!$C202,PlasticsUse!$B$26:$L$26,0)),0)</f>
        <v>1.3465118581020181E-3</v>
      </c>
    </row>
    <row r="203" spans="1:8" x14ac:dyDescent="0.2">
      <c r="A203" t="s">
        <v>10</v>
      </c>
      <c r="B203" t="s">
        <v>206</v>
      </c>
      <c r="C203" t="s">
        <v>18</v>
      </c>
      <c r="D203" s="11">
        <f>INDEX(PlasticsUse!$B$48:$L$64,MATCH('CompilationCalcs - Di et al.EOL'!$A203,PlasticsUse!$A$48:$A$64,0),MATCH('CompilationCalcs - Di et al.EOL'!$C203,PlasticsUse!$B$47:$L$47,0))</f>
        <v>0.20617443319212375</v>
      </c>
      <c r="E203" s="11" t="str">
        <f>IF('CompilationCalcs - Di et al.EOL'!C203=PlasticsUse!$D$93,Conversions!$A$17,IF('CompilationCalcs - Di et al.EOL'!C203=PlasticsUse!$L$93,Conversions!$A$18,Conversions!$A$16))</f>
        <v>N/A</v>
      </c>
      <c r="F203" s="11">
        <v>0</v>
      </c>
      <c r="G203" t="s">
        <v>287</v>
      </c>
      <c r="H203" s="11">
        <f>IFERROR(INDEX(EndOfLife!$L$64:$P$78,MATCH($A203,EndOfLife!$A$64:$A$78,0),MATCH($G203,EndOfLife!$L$63:$P$63,0))*INDEX(PlasticsUse!$B$27:$L$41,MATCH('CompilationCalcs - Di et al.EOL'!$A203,PlasticsUse!$A$27:$A$41,0),MATCH('CompilationCalcs - Di et al.EOL'!$C203,PlasticsUse!$B$26:$L$26,0)),0)</f>
        <v>0</v>
      </c>
    </row>
    <row r="204" spans="1:8" x14ac:dyDescent="0.2">
      <c r="A204" t="s">
        <v>10</v>
      </c>
      <c r="B204" t="s">
        <v>207</v>
      </c>
      <c r="C204" t="s">
        <v>38</v>
      </c>
      <c r="D204" s="11"/>
      <c r="E204" s="11" t="str">
        <f>IF('CompilationCalcs - Di et al.EOL'!C204=PlasticsUse!$D$93,Conversions!$A$17,IF('CompilationCalcs - Di et al.EOL'!C204=PlasticsUse!$L$93,Conversions!$A$18,Conversions!$A$16))</f>
        <v>Transfer Station</v>
      </c>
      <c r="F204" s="11">
        <f t="shared" si="3"/>
        <v>0</v>
      </c>
      <c r="G204" t="s">
        <v>5</v>
      </c>
      <c r="H204" s="11">
        <f>IFERROR(INDEX(EndOfLife!$L$64:$P$78,MATCH($A204,EndOfLife!$A$64:$A$78,0),MATCH($G204,EndOfLife!$L$63:$P$63,0))*INDEX(PlasticsUse!$B$27:$L$41,MATCH('CompilationCalcs - Di et al.EOL'!$A204,PlasticsUse!$A$27:$A$41,0),MATCH('CompilationCalcs - Di et al.EOL'!$C204,PlasticsUse!$B$26:$L$26,0)),0)</f>
        <v>2.3101094065562752E-2</v>
      </c>
    </row>
    <row r="205" spans="1:8" x14ac:dyDescent="0.2">
      <c r="A205" t="s">
        <v>10</v>
      </c>
      <c r="B205" t="s">
        <v>207</v>
      </c>
      <c r="C205" t="s">
        <v>99</v>
      </c>
      <c r="D205" s="11"/>
      <c r="E205" s="11" t="str">
        <f>IF('CompilationCalcs - Di et al.EOL'!C205=PlasticsUse!$D$93,Conversions!$A$17,IF('CompilationCalcs - Di et al.EOL'!C205=PlasticsUse!$L$93,Conversions!$A$18,Conversions!$A$16))</f>
        <v>Transfer Station</v>
      </c>
      <c r="F205" s="11">
        <f t="shared" si="3"/>
        <v>0</v>
      </c>
      <c r="G205" t="s">
        <v>5</v>
      </c>
      <c r="H205" s="11">
        <f>IFERROR(INDEX(EndOfLife!$L$64:$P$78,MATCH($A205,EndOfLife!$A$64:$A$78,0),MATCH($G205,EndOfLife!$L$63:$P$63,0))*INDEX(PlasticsUse!$B$27:$L$41,MATCH('CompilationCalcs - Di et al.EOL'!$A205,PlasticsUse!$A$27:$A$41,0),MATCH('CompilationCalcs - Di et al.EOL'!$C205,PlasticsUse!$B$26:$L$26,0)),0)</f>
        <v>2.3101094065562752E-2</v>
      </c>
    </row>
    <row r="206" spans="1:8" x14ac:dyDescent="0.2">
      <c r="A206" t="s">
        <v>10</v>
      </c>
      <c r="B206" t="s">
        <v>207</v>
      </c>
      <c r="C206" t="s">
        <v>69</v>
      </c>
      <c r="D206" s="11"/>
      <c r="E206" s="11" t="str">
        <f>IF('CompilationCalcs - Di et al.EOL'!C206=PlasticsUse!$D$93,Conversions!$A$17,IF('CompilationCalcs - Di et al.EOL'!C206=PlasticsUse!$L$93,Conversions!$A$18,Conversions!$A$16))</f>
        <v>Automotive Shredding Facility</v>
      </c>
      <c r="F206" s="11">
        <f t="shared" si="3"/>
        <v>0</v>
      </c>
      <c r="G206" t="s">
        <v>5</v>
      </c>
      <c r="H206" s="11">
        <f>IFERROR(INDEX(EndOfLife!$L$64:$P$78,MATCH($A206,EndOfLife!$A$64:$A$78,0),MATCH($G206,EndOfLife!$L$63:$P$63,0))*INDEX(PlasticsUse!$B$27:$L$41,MATCH('CompilationCalcs - Di et al.EOL'!$A206,PlasticsUse!$A$27:$A$41,0),MATCH('CompilationCalcs - Di et al.EOL'!$C206,PlasticsUse!$B$26:$L$26,0)),0)</f>
        <v>2.3101094065562752E-2</v>
      </c>
    </row>
    <row r="207" spans="1:8" x14ac:dyDescent="0.2">
      <c r="A207" t="s">
        <v>10</v>
      </c>
      <c r="B207" t="s">
        <v>207</v>
      </c>
      <c r="C207" t="s">
        <v>100</v>
      </c>
      <c r="D207" s="11"/>
      <c r="E207" s="11" t="str">
        <f>IF('CompilationCalcs - Di et al.EOL'!C207=PlasticsUse!$D$93,Conversions!$A$17,IF('CompilationCalcs - Di et al.EOL'!C207=PlasticsUse!$L$93,Conversions!$A$18,Conversions!$A$16))</f>
        <v>Transfer Station</v>
      </c>
      <c r="F207" s="11">
        <f t="shared" si="3"/>
        <v>0</v>
      </c>
      <c r="G207" t="s">
        <v>5</v>
      </c>
      <c r="H207" s="11">
        <f>IFERROR(INDEX(EndOfLife!$L$64:$P$78,MATCH($A207,EndOfLife!$A$64:$A$78,0),MATCH($G207,EndOfLife!$L$63:$P$63,0))*INDEX(PlasticsUse!$B$27:$L$41,MATCH('CompilationCalcs - Di et al.EOL'!$A207,PlasticsUse!$A$27:$A$41,0),MATCH('CompilationCalcs - Di et al.EOL'!$C207,PlasticsUse!$B$26:$L$26,0)),0)</f>
        <v>2.3101094065562752E-2</v>
      </c>
    </row>
    <row r="208" spans="1:8" x14ac:dyDescent="0.2">
      <c r="A208" t="s">
        <v>10</v>
      </c>
      <c r="B208" t="s">
        <v>207</v>
      </c>
      <c r="C208" t="s">
        <v>39</v>
      </c>
      <c r="D208" s="11"/>
      <c r="E208" s="11" t="str">
        <f>IF('CompilationCalcs - Di et al.EOL'!C208=PlasticsUse!$D$93,Conversions!$A$17,IF('CompilationCalcs - Di et al.EOL'!C208=PlasticsUse!$L$93,Conversions!$A$18,Conversions!$A$16))</f>
        <v>Transfer Station</v>
      </c>
      <c r="F208" s="11">
        <f t="shared" si="3"/>
        <v>0</v>
      </c>
      <c r="G208" t="s">
        <v>5</v>
      </c>
      <c r="H208" s="11">
        <f>IFERROR(INDEX(EndOfLife!$L$64:$P$78,MATCH($A208,EndOfLife!$A$64:$A$78,0),MATCH($G208,EndOfLife!$L$63:$P$63,0))*INDEX(PlasticsUse!$B$27:$L$41,MATCH('CompilationCalcs - Di et al.EOL'!$A208,PlasticsUse!$A$27:$A$41,0),MATCH('CompilationCalcs - Di et al.EOL'!$C208,PlasticsUse!$B$26:$L$26,0)),0)</f>
        <v>2.3101094065562752E-2</v>
      </c>
    </row>
    <row r="209" spans="1:8" x14ac:dyDescent="0.2">
      <c r="A209" t="s">
        <v>10</v>
      </c>
      <c r="B209" t="s">
        <v>207</v>
      </c>
      <c r="C209" t="s">
        <v>63</v>
      </c>
      <c r="D209" s="11"/>
      <c r="E209" s="11" t="str">
        <f>IF('CompilationCalcs - Di et al.EOL'!C209=PlasticsUse!$D$93,Conversions!$A$17,IF('CompilationCalcs - Di et al.EOL'!C209=PlasticsUse!$L$93,Conversions!$A$18,Conversions!$A$16))</f>
        <v>Transfer Station</v>
      </c>
      <c r="F209" s="11">
        <f t="shared" si="3"/>
        <v>0</v>
      </c>
      <c r="G209" t="s">
        <v>5</v>
      </c>
      <c r="H209" s="11">
        <f>IFERROR(INDEX(EndOfLife!$L$64:$P$78,MATCH($A209,EndOfLife!$A$64:$A$78,0),MATCH($G209,EndOfLife!$L$63:$P$63,0))*INDEX(PlasticsUse!$B$27:$L$41,MATCH('CompilationCalcs - Di et al.EOL'!$A209,PlasticsUse!$A$27:$A$41,0),MATCH('CompilationCalcs - Di et al.EOL'!$C209,PlasticsUse!$B$26:$L$26,0)),0)</f>
        <v>2.3101094065562752E-2</v>
      </c>
    </row>
    <row r="210" spans="1:8" x14ac:dyDescent="0.2">
      <c r="A210" t="s">
        <v>10</v>
      </c>
      <c r="B210" t="s">
        <v>207</v>
      </c>
      <c r="C210" t="s">
        <v>92</v>
      </c>
      <c r="D210" s="11"/>
      <c r="E210" s="11" t="str">
        <f>IF('CompilationCalcs - Di et al.EOL'!C210=PlasticsUse!$D$93,Conversions!$A$17,IF('CompilationCalcs - Di et al.EOL'!C210=PlasticsUse!$L$93,Conversions!$A$18,Conversions!$A$16))</f>
        <v>Transfer Station</v>
      </c>
      <c r="F210" s="11">
        <f t="shared" si="3"/>
        <v>0</v>
      </c>
      <c r="G210" t="s">
        <v>5</v>
      </c>
      <c r="H210" s="11">
        <f>IFERROR(INDEX(EndOfLife!$L$64:$P$78,MATCH($A210,EndOfLife!$A$64:$A$78,0),MATCH($G210,EndOfLife!$L$63:$P$63,0))*INDEX(PlasticsUse!$B$27:$L$41,MATCH('CompilationCalcs - Di et al.EOL'!$A210,PlasticsUse!$A$27:$A$41,0),MATCH('CompilationCalcs - Di et al.EOL'!$C210,PlasticsUse!$B$26:$L$26,0)),0)</f>
        <v>2.3101094065562752E-2</v>
      </c>
    </row>
    <row r="211" spans="1:8" x14ac:dyDescent="0.2">
      <c r="A211" t="s">
        <v>10</v>
      </c>
      <c r="B211" t="s">
        <v>207</v>
      </c>
      <c r="C211" t="s">
        <v>103</v>
      </c>
      <c r="D211" s="11"/>
      <c r="E211" s="11" t="str">
        <f>IF('CompilationCalcs - Di et al.EOL'!C211=PlasticsUse!$D$93,Conversions!$A$17,IF('CompilationCalcs - Di et al.EOL'!C211=PlasticsUse!$L$93,Conversions!$A$18,Conversions!$A$16))</f>
        <v>Transfer Station</v>
      </c>
      <c r="F211" s="11">
        <f t="shared" ref="F211:F278" si="4">D211</f>
        <v>0</v>
      </c>
      <c r="G211" t="s">
        <v>5</v>
      </c>
      <c r="H211" s="11">
        <f>IFERROR(INDEX(EndOfLife!$L$64:$P$78,MATCH($A211,EndOfLife!$A$64:$A$78,0),MATCH($G211,EndOfLife!$L$63:$P$63,0))*INDEX(PlasticsUse!$B$27:$L$41,MATCH('CompilationCalcs - Di et al.EOL'!$A211,PlasticsUse!$A$27:$A$41,0),MATCH('CompilationCalcs - Di et al.EOL'!$C211,PlasticsUse!$B$26:$L$26,0)),0)</f>
        <v>0</v>
      </c>
    </row>
    <row r="212" spans="1:8" x14ac:dyDescent="0.2">
      <c r="A212" t="s">
        <v>10</v>
      </c>
      <c r="B212" t="s">
        <v>207</v>
      </c>
      <c r="C212" t="s">
        <v>86</v>
      </c>
      <c r="D212" s="11"/>
      <c r="E212" s="11" t="str">
        <f>IF('CompilationCalcs - Di et al.EOL'!C212=PlasticsUse!$D$93,Conversions!$A$17,IF('CompilationCalcs - Di et al.EOL'!C212=PlasticsUse!$L$93,Conversions!$A$18,Conversions!$A$16))</f>
        <v>Transfer Station</v>
      </c>
      <c r="F212" s="11">
        <f t="shared" si="4"/>
        <v>0</v>
      </c>
      <c r="G212" t="s">
        <v>5</v>
      </c>
      <c r="H212" s="11">
        <f>IFERROR(INDEX(EndOfLife!$L$64:$P$78,MATCH($A212,EndOfLife!$A$64:$A$78,0),MATCH($G212,EndOfLife!$L$63:$P$63,0))*INDEX(PlasticsUse!$B$27:$L$41,MATCH('CompilationCalcs - Di et al.EOL'!$A212,PlasticsUse!$A$27:$A$41,0),MATCH('CompilationCalcs - Di et al.EOL'!$C212,PlasticsUse!$B$26:$L$26,0)),0)</f>
        <v>2.3101094065562752E-2</v>
      </c>
    </row>
    <row r="213" spans="1:8" x14ac:dyDescent="0.2">
      <c r="A213" t="s">
        <v>10</v>
      </c>
      <c r="B213" t="s">
        <v>207</v>
      </c>
      <c r="C213" t="s">
        <v>18</v>
      </c>
      <c r="D213" s="11"/>
      <c r="E213" s="11" t="str">
        <f>IF('CompilationCalcs - Di et al.EOL'!C213=PlasticsUse!$D$93,Conversions!$A$17,IF('CompilationCalcs - Di et al.EOL'!C213=PlasticsUse!$L$93,Conversions!$A$18,Conversions!$A$16))</f>
        <v>N/A</v>
      </c>
      <c r="F213" s="11">
        <f t="shared" si="4"/>
        <v>0</v>
      </c>
      <c r="G213" t="s">
        <v>287</v>
      </c>
      <c r="H213" s="11">
        <f>IFERROR(INDEX(EndOfLife!$L$64:$P$78,MATCH($A213,EndOfLife!$A$64:$A$78,0),MATCH($G213,EndOfLife!$L$63:$P$63,0))*INDEX(PlasticsUse!$B$27:$L$41,MATCH('CompilationCalcs - Di et al.EOL'!$A213,PlasticsUse!$A$27:$A$41,0),MATCH('CompilationCalcs - Di et al.EOL'!$C213,PlasticsUse!$B$26:$L$26,0)),0)</f>
        <v>0</v>
      </c>
    </row>
    <row r="214" spans="1:8" x14ac:dyDescent="0.2">
      <c r="A214" t="s">
        <v>10</v>
      </c>
      <c r="B214" t="s">
        <v>207</v>
      </c>
      <c r="C214" t="s">
        <v>38</v>
      </c>
      <c r="D214" s="11"/>
      <c r="E214" s="11" t="str">
        <f>IF('CompilationCalcs - Di et al.EOL'!C214=PlasticsUse!$D$93,Conversions!$A$17,IF('CompilationCalcs - Di et al.EOL'!C214=PlasticsUse!$L$93,Conversions!$A$18,Conversions!$A$16))</f>
        <v>Transfer Station</v>
      </c>
      <c r="F214" s="11">
        <f t="shared" si="4"/>
        <v>0</v>
      </c>
      <c r="G214" t="s">
        <v>6</v>
      </c>
      <c r="H214" s="11">
        <f>IFERROR(INDEX(EndOfLife!$L$64:$P$78,MATCH($A214,EndOfLife!$A$64:$A$78,0),MATCH($G214,EndOfLife!$L$63:$P$63,0))*INDEX(PlasticsUse!$B$27:$L$41,MATCH('CompilationCalcs - Di et al.EOL'!$A214,PlasticsUse!$A$27:$A$41,0),MATCH('CompilationCalcs - Di et al.EOL'!$C214,PlasticsUse!$B$26:$L$26,0)),0)</f>
        <v>0.13411794544206707</v>
      </c>
    </row>
    <row r="215" spans="1:8" x14ac:dyDescent="0.2">
      <c r="A215" t="s">
        <v>10</v>
      </c>
      <c r="B215" t="s">
        <v>207</v>
      </c>
      <c r="C215" t="s">
        <v>99</v>
      </c>
      <c r="D215" s="11"/>
      <c r="E215" s="11" t="str">
        <f>IF('CompilationCalcs - Di et al.EOL'!C215=PlasticsUse!$D$93,Conversions!$A$17,IF('CompilationCalcs - Di et al.EOL'!C215=PlasticsUse!$L$93,Conversions!$A$18,Conversions!$A$16))</f>
        <v>Transfer Station</v>
      </c>
      <c r="F215" s="11">
        <f t="shared" si="4"/>
        <v>0</v>
      </c>
      <c r="G215" t="s">
        <v>6</v>
      </c>
      <c r="H215" s="11">
        <f>IFERROR(INDEX(EndOfLife!$L$64:$P$78,MATCH($A215,EndOfLife!$A$64:$A$78,0),MATCH($G215,EndOfLife!$L$63:$P$63,0))*INDEX(PlasticsUse!$B$27:$L$41,MATCH('CompilationCalcs - Di et al.EOL'!$A215,PlasticsUse!$A$27:$A$41,0),MATCH('CompilationCalcs - Di et al.EOL'!$C215,PlasticsUse!$B$26:$L$26,0)),0)</f>
        <v>0.13411794544206707</v>
      </c>
    </row>
    <row r="216" spans="1:8" x14ac:dyDescent="0.2">
      <c r="A216" t="s">
        <v>10</v>
      </c>
      <c r="B216" t="s">
        <v>207</v>
      </c>
      <c r="C216" t="s">
        <v>69</v>
      </c>
      <c r="D216" s="11"/>
      <c r="E216" s="11" t="str">
        <f>IF('CompilationCalcs - Di et al.EOL'!C216=PlasticsUse!$D$93,Conversions!$A$17,IF('CompilationCalcs - Di et al.EOL'!C216=PlasticsUse!$L$93,Conversions!$A$18,Conversions!$A$16))</f>
        <v>Automotive Shredding Facility</v>
      </c>
      <c r="F216" s="11">
        <f t="shared" si="4"/>
        <v>0</v>
      </c>
      <c r="G216" t="s">
        <v>6</v>
      </c>
      <c r="H216" s="11">
        <f>IFERROR(INDEX(EndOfLife!$L$64:$P$78,MATCH($A216,EndOfLife!$A$64:$A$78,0),MATCH($G216,EndOfLife!$L$63:$P$63,0))*INDEX(PlasticsUse!$B$27:$L$41,MATCH('CompilationCalcs - Di et al.EOL'!$A216,PlasticsUse!$A$27:$A$41,0),MATCH('CompilationCalcs - Di et al.EOL'!$C216,PlasticsUse!$B$26:$L$26,0)),0)</f>
        <v>0.13411794544206707</v>
      </c>
    </row>
    <row r="217" spans="1:8" x14ac:dyDescent="0.2">
      <c r="A217" t="s">
        <v>10</v>
      </c>
      <c r="B217" t="s">
        <v>207</v>
      </c>
      <c r="C217" t="s">
        <v>100</v>
      </c>
      <c r="D217" s="11"/>
      <c r="E217" s="11" t="str">
        <f>IF('CompilationCalcs - Di et al.EOL'!C217=PlasticsUse!$D$93,Conversions!$A$17,IF('CompilationCalcs - Di et al.EOL'!C217=PlasticsUse!$L$93,Conversions!$A$18,Conversions!$A$16))</f>
        <v>Transfer Station</v>
      </c>
      <c r="F217" s="11">
        <f t="shared" si="4"/>
        <v>0</v>
      </c>
      <c r="G217" t="s">
        <v>6</v>
      </c>
      <c r="H217" s="11">
        <f>IFERROR(INDEX(EndOfLife!$L$64:$P$78,MATCH($A217,EndOfLife!$A$64:$A$78,0),MATCH($G217,EndOfLife!$L$63:$P$63,0))*INDEX(PlasticsUse!$B$27:$L$41,MATCH('CompilationCalcs - Di et al.EOL'!$A217,PlasticsUse!$A$27:$A$41,0),MATCH('CompilationCalcs - Di et al.EOL'!$C217,PlasticsUse!$B$26:$L$26,0)),0)</f>
        <v>0.13411794544206707</v>
      </c>
    </row>
    <row r="218" spans="1:8" x14ac:dyDescent="0.2">
      <c r="A218" t="s">
        <v>10</v>
      </c>
      <c r="B218" t="s">
        <v>207</v>
      </c>
      <c r="C218" t="s">
        <v>39</v>
      </c>
      <c r="D218" s="11"/>
      <c r="E218" s="11" t="str">
        <f>IF('CompilationCalcs - Di et al.EOL'!C218=PlasticsUse!$D$93,Conversions!$A$17,IF('CompilationCalcs - Di et al.EOL'!C218=PlasticsUse!$L$93,Conversions!$A$18,Conversions!$A$16))</f>
        <v>Transfer Station</v>
      </c>
      <c r="F218" s="11">
        <f t="shared" si="4"/>
        <v>0</v>
      </c>
      <c r="G218" t="s">
        <v>6</v>
      </c>
      <c r="H218" s="11">
        <f>IFERROR(INDEX(EndOfLife!$L$64:$P$78,MATCH($A218,EndOfLife!$A$64:$A$78,0),MATCH($G218,EndOfLife!$L$63:$P$63,0))*INDEX(PlasticsUse!$B$27:$L$41,MATCH('CompilationCalcs - Di et al.EOL'!$A218,PlasticsUse!$A$27:$A$41,0),MATCH('CompilationCalcs - Di et al.EOL'!$C218,PlasticsUse!$B$26:$L$26,0)),0)</f>
        <v>0.13411794544206707</v>
      </c>
    </row>
    <row r="219" spans="1:8" x14ac:dyDescent="0.2">
      <c r="A219" t="s">
        <v>10</v>
      </c>
      <c r="B219" t="s">
        <v>207</v>
      </c>
      <c r="C219" t="s">
        <v>68</v>
      </c>
      <c r="D219" s="11"/>
      <c r="E219" s="11" t="str">
        <f>IF('CompilationCalcs - Di et al.EOL'!C219=PlasticsUse!$D$93,Conversions!$A$17,IF('CompilationCalcs - Di et al.EOL'!C219=PlasticsUse!$L$93,Conversions!$A$18,Conversions!$A$16))</f>
        <v>Transfer Station</v>
      </c>
      <c r="F219" s="11">
        <f t="shared" si="4"/>
        <v>0</v>
      </c>
      <c r="G219" t="s">
        <v>6</v>
      </c>
      <c r="H219" s="11">
        <f>IFERROR(INDEX(EndOfLife!$L$64:$P$78,MATCH($A219,EndOfLife!$A$64:$A$78,0),MATCH($G219,EndOfLife!$L$63:$P$63,0))*INDEX(PlasticsUse!$B$27:$L$41,MATCH('CompilationCalcs - Di et al.EOL'!$A219,PlasticsUse!$A$27:$A$41,0),MATCH('CompilationCalcs - Di et al.EOL'!$C219,PlasticsUse!$B$26:$L$26,0)),0)</f>
        <v>0.13411794544206707</v>
      </c>
    </row>
    <row r="220" spans="1:8" x14ac:dyDescent="0.2">
      <c r="A220" t="s">
        <v>10</v>
      </c>
      <c r="B220" t="s">
        <v>207</v>
      </c>
      <c r="C220" t="s">
        <v>63</v>
      </c>
      <c r="D220" s="11"/>
      <c r="E220" s="11" t="str">
        <f>IF('CompilationCalcs - Di et al.EOL'!C220=PlasticsUse!$D$93,Conversions!$A$17,IF('CompilationCalcs - Di et al.EOL'!C220=PlasticsUse!$L$93,Conversions!$A$18,Conversions!$A$16))</f>
        <v>Transfer Station</v>
      </c>
      <c r="F220" s="11">
        <f t="shared" si="4"/>
        <v>0</v>
      </c>
      <c r="G220" t="s">
        <v>6</v>
      </c>
      <c r="H220" s="11">
        <f>IFERROR(INDEX(EndOfLife!$L$64:$P$78,MATCH($A220,EndOfLife!$A$64:$A$78,0),MATCH($G220,EndOfLife!$L$63:$P$63,0))*INDEX(PlasticsUse!$B$27:$L$41,MATCH('CompilationCalcs - Di et al.EOL'!$A220,PlasticsUse!$A$27:$A$41,0),MATCH('CompilationCalcs - Di et al.EOL'!$C220,PlasticsUse!$B$26:$L$26,0)),0)</f>
        <v>0.13411794544206707</v>
      </c>
    </row>
    <row r="221" spans="1:8" x14ac:dyDescent="0.2">
      <c r="A221" t="s">
        <v>10</v>
      </c>
      <c r="B221" t="s">
        <v>207</v>
      </c>
      <c r="C221" t="s">
        <v>92</v>
      </c>
      <c r="D221" s="11"/>
      <c r="E221" s="11" t="str">
        <f>IF('CompilationCalcs - Di et al.EOL'!C221=PlasticsUse!$D$93,Conversions!$A$17,IF('CompilationCalcs - Di et al.EOL'!C221=PlasticsUse!$L$93,Conversions!$A$18,Conversions!$A$16))</f>
        <v>Transfer Station</v>
      </c>
      <c r="F221" s="11">
        <f t="shared" si="4"/>
        <v>0</v>
      </c>
      <c r="G221" t="s">
        <v>6</v>
      </c>
      <c r="H221" s="11">
        <f>IFERROR(INDEX(EndOfLife!$L$64:$P$78,MATCH($A221,EndOfLife!$A$64:$A$78,0),MATCH($G221,EndOfLife!$L$63:$P$63,0))*INDEX(PlasticsUse!$B$27:$L$41,MATCH('CompilationCalcs - Di et al.EOL'!$A221,PlasticsUse!$A$27:$A$41,0),MATCH('CompilationCalcs - Di et al.EOL'!$C221,PlasticsUse!$B$26:$L$26,0)),0)</f>
        <v>0.13411794544206707</v>
      </c>
    </row>
    <row r="222" spans="1:8" x14ac:dyDescent="0.2">
      <c r="A222" t="s">
        <v>10</v>
      </c>
      <c r="B222" t="s">
        <v>207</v>
      </c>
      <c r="C222" t="s">
        <v>103</v>
      </c>
      <c r="D222" s="11"/>
      <c r="E222" s="11" t="str">
        <f>IF('CompilationCalcs - Di et al.EOL'!C222=PlasticsUse!$D$93,Conversions!$A$17,IF('CompilationCalcs - Di et al.EOL'!C222=PlasticsUse!$L$93,Conversions!$A$18,Conversions!$A$16))</f>
        <v>Transfer Station</v>
      </c>
      <c r="F222" s="11">
        <f t="shared" si="4"/>
        <v>0</v>
      </c>
      <c r="G222" t="s">
        <v>6</v>
      </c>
      <c r="H222" s="11">
        <f>IFERROR(INDEX(EndOfLife!$L$64:$P$78,MATCH($A222,EndOfLife!$A$64:$A$78,0),MATCH($G222,EndOfLife!$L$63:$P$63,0))*INDEX(PlasticsUse!$B$27:$L$41,MATCH('CompilationCalcs - Di et al.EOL'!$A222,PlasticsUse!$A$27:$A$41,0),MATCH('CompilationCalcs - Di et al.EOL'!$C222,PlasticsUse!$B$26:$L$26,0)),0)</f>
        <v>0</v>
      </c>
    </row>
    <row r="223" spans="1:8" x14ac:dyDescent="0.2">
      <c r="A223" t="s">
        <v>10</v>
      </c>
      <c r="B223" t="s">
        <v>207</v>
      </c>
      <c r="C223" t="s">
        <v>86</v>
      </c>
      <c r="D223" s="11"/>
      <c r="E223" s="11" t="str">
        <f>IF('CompilationCalcs - Di et al.EOL'!C223=PlasticsUse!$D$93,Conversions!$A$17,IF('CompilationCalcs - Di et al.EOL'!C223=PlasticsUse!$L$93,Conversions!$A$18,Conversions!$A$16))</f>
        <v>Transfer Station</v>
      </c>
      <c r="F223" s="11">
        <f t="shared" si="4"/>
        <v>0</v>
      </c>
      <c r="G223" t="s">
        <v>6</v>
      </c>
      <c r="H223" s="11">
        <f>IFERROR(INDEX(EndOfLife!$L$64:$P$78,MATCH($A223,EndOfLife!$A$64:$A$78,0),MATCH($G223,EndOfLife!$L$63:$P$63,0))*INDEX(PlasticsUse!$B$27:$L$41,MATCH('CompilationCalcs - Di et al.EOL'!$A223,PlasticsUse!$A$27:$A$41,0),MATCH('CompilationCalcs - Di et al.EOL'!$C223,PlasticsUse!$B$26:$L$26,0)),0)</f>
        <v>0.13411794544206707</v>
      </c>
    </row>
    <row r="224" spans="1:8" x14ac:dyDescent="0.2">
      <c r="A224" t="s">
        <v>10</v>
      </c>
      <c r="B224" t="s">
        <v>207</v>
      </c>
      <c r="C224" t="s">
        <v>18</v>
      </c>
      <c r="D224" s="11"/>
      <c r="E224" s="11" t="str">
        <f>IF('CompilationCalcs - Di et al.EOL'!C224=PlasticsUse!$D$93,Conversions!$A$17,IF('CompilationCalcs - Di et al.EOL'!C224=PlasticsUse!$L$93,Conversions!$A$18,Conversions!$A$16))</f>
        <v>N/A</v>
      </c>
      <c r="F224" s="11">
        <f t="shared" si="4"/>
        <v>0</v>
      </c>
      <c r="G224" t="s">
        <v>287</v>
      </c>
      <c r="H224" s="11">
        <f>IFERROR(INDEX(EndOfLife!$L$64:$P$78,MATCH($A224,EndOfLife!$A$64:$A$78,0),MATCH($G224,EndOfLife!$L$63:$P$63,0))*INDEX(PlasticsUse!$B$27:$L$41,MATCH('CompilationCalcs - Di et al.EOL'!$A224,PlasticsUse!$A$27:$A$41,0),MATCH('CompilationCalcs - Di et al.EOL'!$C224,PlasticsUse!$B$26:$L$26,0)),0)</f>
        <v>0</v>
      </c>
    </row>
    <row r="225" spans="1:8" ht="17" x14ac:dyDescent="0.2">
      <c r="A225" t="s">
        <v>10</v>
      </c>
      <c r="B225" t="s">
        <v>207</v>
      </c>
      <c r="E225" s="11" t="s">
        <v>191</v>
      </c>
      <c r="F225" s="11">
        <f t="shared" si="4"/>
        <v>0</v>
      </c>
      <c r="G225" s="28" t="s">
        <v>360</v>
      </c>
      <c r="H225" s="11">
        <f>INDEX(EndOfLife!$T$64:$X$78,MATCH('CompilationCalcs - Di et al.EOL'!$A225,EndOfLife!$S$64:$S$78,0),MATCH('CompilationCalcs - Di et al.EOL'!$G225,EndOfLife!$T$63:$X$63,0))</f>
        <v>0</v>
      </c>
    </row>
    <row r="226" spans="1:8" ht="17" x14ac:dyDescent="0.2">
      <c r="A226" t="s">
        <v>10</v>
      </c>
      <c r="B226" t="s">
        <v>207</v>
      </c>
      <c r="E226" s="11" t="s">
        <v>191</v>
      </c>
      <c r="F226" s="11">
        <f t="shared" si="4"/>
        <v>0</v>
      </c>
      <c r="G226" s="28" t="s">
        <v>361</v>
      </c>
      <c r="H226" s="11">
        <f>INDEX(EndOfLife!$T$64:$X$78,MATCH('CompilationCalcs - Di et al.EOL'!$A226,EndOfLife!$S$64:$S$78,0),MATCH('CompilationCalcs - Di et al.EOL'!$G226,EndOfLife!$T$63:$X$63,0))</f>
        <v>1.4811899741493821E-2</v>
      </c>
    </row>
    <row r="227" spans="1:8" ht="17" x14ac:dyDescent="0.2">
      <c r="A227" t="s">
        <v>10</v>
      </c>
      <c r="B227" t="s">
        <v>207</v>
      </c>
      <c r="E227" s="11" t="s">
        <v>360</v>
      </c>
      <c r="F227" s="11">
        <f t="shared" si="4"/>
        <v>0</v>
      </c>
      <c r="G227" s="28" t="s">
        <v>192</v>
      </c>
      <c r="H227" s="11">
        <f>INDEX(EndOfLife!$T$64:$X$78,MATCH('CompilationCalcs - Di et al.EOL'!$A227,EndOfLife!$S$64:$S$78,0),MATCH('CompilationCalcs - Di et al.EOL'!$G227,EndOfLife!$T$63:$X$63,0))</f>
        <v>0</v>
      </c>
    </row>
    <row r="228" spans="1:8" ht="17" x14ac:dyDescent="0.2">
      <c r="A228" t="s">
        <v>10</v>
      </c>
      <c r="B228" t="s">
        <v>207</v>
      </c>
      <c r="E228" s="11" t="s">
        <v>191</v>
      </c>
      <c r="F228" s="11">
        <f t="shared" si="4"/>
        <v>0</v>
      </c>
      <c r="G228" s="28" t="s">
        <v>193</v>
      </c>
      <c r="H228" s="11">
        <f>INDEX(EndOfLife!$T$64:$X$78,MATCH('CompilationCalcs - Di et al.EOL'!$A228,EndOfLife!$S$64:$S$78,0),MATCH('CompilationCalcs - Di et al.EOL'!$G228,EndOfLife!$T$63:$X$63,0))</f>
        <v>0</v>
      </c>
    </row>
    <row r="229" spans="1:8" x14ac:dyDescent="0.2">
      <c r="A229" t="s">
        <v>11</v>
      </c>
      <c r="B229" t="s">
        <v>206</v>
      </c>
      <c r="C229" t="s">
        <v>38</v>
      </c>
      <c r="D229" s="11">
        <f>INDEX(PlasticsUse!$B$48:$L$64,MATCH('CompilationCalcs - Di et al.EOL'!$A229,PlasticsUse!$A$48:$A$64,0),MATCH('CompilationCalcs - Di et al.EOL'!$C229,PlasticsUse!$B$47:$L$47,0))</f>
        <v>0.20617443319212375</v>
      </c>
      <c r="E229" s="11" t="str">
        <f>IF('CompilationCalcs - Di et al.EOL'!C229=PlasticsUse!$D$93,Conversions!$A$17,IF('CompilationCalcs - Di et al.EOL'!C229=PlasticsUse!$L$93,Conversions!$A$18,Conversions!$A$16))</f>
        <v>Transfer Station</v>
      </c>
      <c r="F229" s="11">
        <f>INDEX('In-Use Stocks'!$M$81:$V$97,MATCH('CompilationCalcs - Di et al.EOL'!$A229,'In-Use Stocks'!$L$81:$L$97,0),MATCH('CompilationCalcs - Di et al.EOL'!$C229,'In-Use Stocks'!$M$80:$V$80,0))</f>
        <v>8.1377116692720922E-2</v>
      </c>
      <c r="G229" t="s">
        <v>191</v>
      </c>
      <c r="H229" s="11">
        <f>IFERROR(INDEX(EndOfLife!$L$64:$P$78,MATCH($A229,EndOfLife!$A$64:$A$78,0),MATCH($G229,EndOfLife!$L$63:$P$63,0))*INDEX(PlasticsUse!$B$27:$L$41,MATCH('CompilationCalcs - Di et al.EOL'!$A229,PlasticsUse!$A$27:$A$41,0),MATCH('CompilationCalcs - Di et al.EOL'!$C229,PlasticsUse!$B$26:$L$26,0)),0)</f>
        <v>1.9268546561702314E-3</v>
      </c>
    </row>
    <row r="230" spans="1:8" x14ac:dyDescent="0.2">
      <c r="A230" t="s">
        <v>11</v>
      </c>
      <c r="B230" t="s">
        <v>206</v>
      </c>
      <c r="C230" t="s">
        <v>99</v>
      </c>
      <c r="D230" s="11">
        <f>INDEX(PlasticsUse!$B$48:$L$64,MATCH('CompilationCalcs - Di et al.EOL'!$A230,PlasticsUse!$A$48:$A$64,0),MATCH('CompilationCalcs - Di et al.EOL'!$C230,PlasticsUse!$B$47:$L$47,0))</f>
        <v>0.20617443319212375</v>
      </c>
      <c r="E230" s="11" t="str">
        <f>IF('CompilationCalcs - Di et al.EOL'!C230=PlasticsUse!$D$93,Conversions!$A$17,IF('CompilationCalcs - Di et al.EOL'!C230=PlasticsUse!$L$93,Conversions!$A$18,Conversions!$A$16))</f>
        <v>Transfer Station</v>
      </c>
      <c r="F230" s="11">
        <f>INDEX('In-Use Stocks'!$M$81:$V$97,MATCH('CompilationCalcs - Di et al.EOL'!$A230,'In-Use Stocks'!$L$81:$L$97,0),MATCH('CompilationCalcs - Di et al.EOL'!$C230,'In-Use Stocks'!$M$80:$V$80,0))</f>
        <v>0.19800444977728901</v>
      </c>
      <c r="G230" t="s">
        <v>191</v>
      </c>
      <c r="H230" s="11">
        <f>IFERROR(INDEX(EndOfLife!$L$64:$P$78,MATCH($A230,EndOfLife!$A$64:$A$78,0),MATCH($G230,EndOfLife!$L$63:$P$63,0))*INDEX(PlasticsUse!$B$27:$L$41,MATCH('CompilationCalcs - Di et al.EOL'!$A230,PlasticsUse!$A$27:$A$41,0),MATCH('CompilationCalcs - Di et al.EOL'!$C230,PlasticsUse!$B$26:$L$26,0)),0)</f>
        <v>1.9268546561702314E-3</v>
      </c>
    </row>
    <row r="231" spans="1:8" x14ac:dyDescent="0.2">
      <c r="A231" t="s">
        <v>11</v>
      </c>
      <c r="B231" t="s">
        <v>206</v>
      </c>
      <c r="C231" t="s">
        <v>69</v>
      </c>
      <c r="D231" s="11">
        <f>INDEX(PlasticsUse!$B$48:$L$64,MATCH('CompilationCalcs - Di et al.EOL'!$A231,PlasticsUse!$A$48:$A$64,0),MATCH('CompilationCalcs - Di et al.EOL'!$C231,PlasticsUse!$B$47:$L$47,0))</f>
        <v>0.20617443319212375</v>
      </c>
      <c r="E231" s="11" t="str">
        <f>IF('CompilationCalcs - Di et al.EOL'!C231=PlasticsUse!$D$93,Conversions!$A$17,IF('CompilationCalcs - Di et al.EOL'!C231=PlasticsUse!$L$93,Conversions!$A$18,Conversions!$A$16))</f>
        <v>Automotive Shredding Facility</v>
      </c>
      <c r="F231" s="11">
        <f>INDEX('In-Use Stocks'!$M$81:$V$97,MATCH('CompilationCalcs - Di et al.EOL'!$A231,'In-Use Stocks'!$L$81:$L$97,0),MATCH('CompilationCalcs - Di et al.EOL'!$C231,'In-Use Stocks'!$M$80:$V$80,0))</f>
        <v>0.21470615201667198</v>
      </c>
      <c r="G231" t="s">
        <v>191</v>
      </c>
      <c r="H231" s="11">
        <f>IFERROR(INDEX(EndOfLife!$L$64:$P$78,MATCH($A231,EndOfLife!$A$64:$A$78,0),MATCH($G231,EndOfLife!$L$63:$P$63,0))*INDEX(PlasticsUse!$B$27:$L$41,MATCH('CompilationCalcs - Di et al.EOL'!$A231,PlasticsUse!$A$27:$A$41,0),MATCH('CompilationCalcs - Di et al.EOL'!$C231,PlasticsUse!$B$26:$L$26,0)),0)</f>
        <v>1.9268546561702314E-3</v>
      </c>
    </row>
    <row r="232" spans="1:8" x14ac:dyDescent="0.2">
      <c r="A232" t="s">
        <v>11</v>
      </c>
      <c r="B232" t="s">
        <v>206</v>
      </c>
      <c r="C232" t="s">
        <v>100</v>
      </c>
      <c r="D232" s="11">
        <f>INDEX(PlasticsUse!$B$48:$L$64,MATCH('CompilationCalcs - Di et al.EOL'!$A232,PlasticsUse!$A$48:$A$64,0),MATCH('CompilationCalcs - Di et al.EOL'!$C232,PlasticsUse!$B$47:$L$47,0))</f>
        <v>0.20617443319212375</v>
      </c>
      <c r="E232" s="11" t="str">
        <f>IF('CompilationCalcs - Di et al.EOL'!C232=PlasticsUse!$D$93,Conversions!$A$17,IF('CompilationCalcs - Di et al.EOL'!C232=PlasticsUse!$L$93,Conversions!$A$18,Conversions!$A$16))</f>
        <v>Transfer Station</v>
      </c>
      <c r="F232" s="11">
        <f>INDEX('In-Use Stocks'!$M$81:$V$97,MATCH('CompilationCalcs - Di et al.EOL'!$A232,'In-Use Stocks'!$L$81:$L$97,0),MATCH('CompilationCalcs - Di et al.EOL'!$C232,'In-Use Stocks'!$M$80:$V$80,0))</f>
        <v>0.15762376592860666</v>
      </c>
      <c r="G232" t="s">
        <v>191</v>
      </c>
      <c r="H232" s="11">
        <f>IFERROR(INDEX(EndOfLife!$L$64:$P$78,MATCH($A232,EndOfLife!$A$64:$A$78,0),MATCH($G232,EndOfLife!$L$63:$P$63,0))*INDEX(PlasticsUse!$B$27:$L$41,MATCH('CompilationCalcs - Di et al.EOL'!$A232,PlasticsUse!$A$27:$A$41,0),MATCH('CompilationCalcs - Di et al.EOL'!$C232,PlasticsUse!$B$26:$L$26,0)),0)</f>
        <v>1.9268546561702314E-3</v>
      </c>
    </row>
    <row r="233" spans="1:8" x14ac:dyDescent="0.2">
      <c r="A233" t="s">
        <v>11</v>
      </c>
      <c r="B233" t="s">
        <v>206</v>
      </c>
      <c r="C233" t="s">
        <v>39</v>
      </c>
      <c r="D233" s="11">
        <f>INDEX(PlasticsUse!$B$48:$L$64,MATCH('CompilationCalcs - Di et al.EOL'!$A233,PlasticsUse!$A$48:$A$64,0),MATCH('CompilationCalcs - Di et al.EOL'!$C233,PlasticsUse!$B$47:$L$47,0))</f>
        <v>0.20617443319212375</v>
      </c>
      <c r="E233" s="11" t="str">
        <f>IF('CompilationCalcs - Di et al.EOL'!C233=PlasticsUse!$D$93,Conversions!$A$17,IF('CompilationCalcs - Di et al.EOL'!C233=PlasticsUse!$L$93,Conversions!$A$18,Conversions!$A$16))</f>
        <v>Transfer Station</v>
      </c>
      <c r="F233" s="11">
        <f>INDEX('In-Use Stocks'!$M$81:$V$97,MATCH('CompilationCalcs - Di et al.EOL'!$A233,'In-Use Stocks'!$L$81:$L$97,0),MATCH('CompilationCalcs - Di et al.EOL'!$C233,'In-Use Stocks'!$M$80:$V$80,0))</f>
        <v>0.2518145016909854</v>
      </c>
      <c r="G233" t="s">
        <v>191</v>
      </c>
      <c r="H233" s="11">
        <f>IFERROR(INDEX(EndOfLife!$L$64:$P$78,MATCH($A233,EndOfLife!$A$64:$A$78,0),MATCH($G233,EndOfLife!$L$63:$P$63,0))*INDEX(PlasticsUse!$B$27:$L$41,MATCH('CompilationCalcs - Di et al.EOL'!$A233,PlasticsUse!$A$27:$A$41,0),MATCH('CompilationCalcs - Di et al.EOL'!$C233,PlasticsUse!$B$26:$L$26,0)),0)</f>
        <v>1.9268546561702314E-3</v>
      </c>
    </row>
    <row r="234" spans="1:8" x14ac:dyDescent="0.2">
      <c r="A234" t="s">
        <v>11</v>
      </c>
      <c r="B234" t="s">
        <v>206</v>
      </c>
      <c r="C234" t="s">
        <v>68</v>
      </c>
      <c r="D234" s="11">
        <f>INDEX(PlasticsUse!$B$48:$L$64,MATCH('CompilationCalcs - Di et al.EOL'!$A234,PlasticsUse!$A$48:$A$64,0),MATCH('CompilationCalcs - Di et al.EOL'!$C234,PlasticsUse!$B$47:$L$47,0))</f>
        <v>0.20617443319212375</v>
      </c>
      <c r="E234" s="11" t="str">
        <f>IF('CompilationCalcs - Di et al.EOL'!C234=PlasticsUse!$D$93,Conversions!$A$17,IF('CompilationCalcs - Di et al.EOL'!C234=PlasticsUse!$L$93,Conversions!$A$18,Conversions!$A$16))</f>
        <v>Transfer Station</v>
      </c>
      <c r="F234" s="11">
        <f>INDEX('In-Use Stocks'!$M$81:$V$97,MATCH('CompilationCalcs - Di et al.EOL'!$A234,'In-Use Stocks'!$L$81:$L$97,0),MATCH('CompilationCalcs - Di et al.EOL'!$C234,'In-Use Stocks'!$M$80:$V$80,0))</f>
        <v>0.22372642386187613</v>
      </c>
      <c r="G234" t="s">
        <v>333</v>
      </c>
      <c r="H234" s="11">
        <f>IFERROR(INDEX(EndOfLife!$L$64:$P$78,MATCH($A234,EndOfLife!$A$64:$A$78,0),MATCH($G234,EndOfLife!$L$63:$P$63,0))*INDEX(PlasticsUse!$B$27:$L$41,MATCH('CompilationCalcs - Di et al.EOL'!$A234,PlasticsUse!$A$27:$A$41,0),MATCH('CompilationCalcs - Di et al.EOL'!$C234,PlasticsUse!$B$26:$L$26,0)),0)</f>
        <v>5.3651221949488391E-3</v>
      </c>
    </row>
    <row r="235" spans="1:8" x14ac:dyDescent="0.2">
      <c r="A235" t="s">
        <v>11</v>
      </c>
      <c r="B235" t="s">
        <v>206</v>
      </c>
      <c r="C235" t="s">
        <v>63</v>
      </c>
      <c r="D235" s="11">
        <f>INDEX(PlasticsUse!$B$48:$L$64,MATCH('CompilationCalcs - Di et al.EOL'!$A235,PlasticsUse!$A$48:$A$64,0),MATCH('CompilationCalcs - Di et al.EOL'!$C235,PlasticsUse!$B$47:$L$47,0))</f>
        <v>0.20617443319212375</v>
      </c>
      <c r="E235" s="11" t="str">
        <f>IF('CompilationCalcs - Di et al.EOL'!C235=PlasticsUse!$D$93,Conversions!$A$17,IF('CompilationCalcs - Di et al.EOL'!C235=PlasticsUse!$L$93,Conversions!$A$18,Conversions!$A$16))</f>
        <v>Transfer Station</v>
      </c>
      <c r="F235" s="11">
        <f>INDEX('In-Use Stocks'!$M$81:$V$97,MATCH('CompilationCalcs - Di et al.EOL'!$A235,'In-Use Stocks'!$L$81:$L$97,0),MATCH('CompilationCalcs - Di et al.EOL'!$C235,'In-Use Stocks'!$M$80:$V$80,0))</f>
        <v>0.20472831684240408</v>
      </c>
      <c r="G235" t="s">
        <v>191</v>
      </c>
      <c r="H235" s="11">
        <f>IFERROR(INDEX(EndOfLife!$L$64:$P$78,MATCH($A235,EndOfLife!$A$64:$A$78,0),MATCH($G235,EndOfLife!$L$63:$P$63,0))*INDEX(PlasticsUse!$B$27:$L$41,MATCH('CompilationCalcs - Di et al.EOL'!$A235,PlasticsUse!$A$27:$A$41,0),MATCH('CompilationCalcs - Di et al.EOL'!$C235,PlasticsUse!$B$26:$L$26,0)),0)</f>
        <v>1.9268546561702314E-3</v>
      </c>
    </row>
    <row r="236" spans="1:8" x14ac:dyDescent="0.2">
      <c r="A236" t="s">
        <v>11</v>
      </c>
      <c r="B236" t="s">
        <v>206</v>
      </c>
      <c r="C236" t="s">
        <v>92</v>
      </c>
      <c r="D236" s="11">
        <f>INDEX(PlasticsUse!$B$48:$L$64,MATCH('CompilationCalcs - Di et al.EOL'!$A236,PlasticsUse!$A$48:$A$64,0),MATCH('CompilationCalcs - Di et al.EOL'!$C236,PlasticsUse!$B$47:$L$47,0))</f>
        <v>0.20617443319212375</v>
      </c>
      <c r="E236" s="11" t="str">
        <f>IF('CompilationCalcs - Di et al.EOL'!C236=PlasticsUse!$D$93,Conversions!$A$17,IF('CompilationCalcs - Di et al.EOL'!C236=PlasticsUse!$L$93,Conversions!$A$18,Conversions!$A$16))</f>
        <v>Transfer Station</v>
      </c>
      <c r="F236" s="11">
        <f>INDEX('In-Use Stocks'!$M$81:$V$97,MATCH('CompilationCalcs - Di et al.EOL'!$A236,'In-Use Stocks'!$L$81:$L$97,0),MATCH('CompilationCalcs - Di et al.EOL'!$C236,'In-Use Stocks'!$M$80:$V$80,0))</f>
        <v>0.17713092534936231</v>
      </c>
      <c r="G236" t="s">
        <v>191</v>
      </c>
      <c r="H236" s="11">
        <f>IFERROR(INDEX(EndOfLife!$L$64:$P$78,MATCH($A236,EndOfLife!$A$64:$A$78,0),MATCH($G236,EndOfLife!$L$63:$P$63,0))*INDEX(PlasticsUse!$B$27:$L$41,MATCH('CompilationCalcs - Di et al.EOL'!$A236,PlasticsUse!$A$27:$A$41,0),MATCH('CompilationCalcs - Di et al.EOL'!$C236,PlasticsUse!$B$26:$L$26,0)),0)</f>
        <v>1.9268546561702314E-3</v>
      </c>
    </row>
    <row r="237" spans="1:8" x14ac:dyDescent="0.2">
      <c r="A237" t="s">
        <v>11</v>
      </c>
      <c r="B237" t="s">
        <v>206</v>
      </c>
      <c r="C237" t="s">
        <v>103</v>
      </c>
      <c r="D237" s="11">
        <f>INDEX(PlasticsUse!$B$48:$L$64,MATCH('CompilationCalcs - Di et al.EOL'!$A237,PlasticsUse!$A$48:$A$64,0),MATCH('CompilationCalcs - Di et al.EOL'!$C237,PlasticsUse!$B$47:$L$47,0))</f>
        <v>0</v>
      </c>
      <c r="E237" s="11" t="str">
        <f>IF('CompilationCalcs - Di et al.EOL'!C237=PlasticsUse!$D$93,Conversions!$A$17,IF('CompilationCalcs - Di et al.EOL'!C237=PlasticsUse!$L$93,Conversions!$A$18,Conversions!$A$16))</f>
        <v>Transfer Station</v>
      </c>
      <c r="F237" s="11">
        <f>INDEX('In-Use Stocks'!$M$81:$V$97,MATCH('CompilationCalcs - Di et al.EOL'!$A237,'In-Use Stocks'!$L$81:$L$97,0),MATCH('CompilationCalcs - Di et al.EOL'!$C237,'In-Use Stocks'!$M$80:$V$80,0))</f>
        <v>0</v>
      </c>
      <c r="G237" t="s">
        <v>191</v>
      </c>
      <c r="H237" s="11">
        <f>IFERROR(INDEX(EndOfLife!$L$64:$P$78,MATCH($A237,EndOfLife!$A$64:$A$78,0),MATCH($G237,EndOfLife!$L$63:$P$63,0))*INDEX(PlasticsUse!$B$27:$L$41,MATCH('CompilationCalcs - Di et al.EOL'!$A237,PlasticsUse!$A$27:$A$41,0),MATCH('CompilationCalcs - Di et al.EOL'!$C237,PlasticsUse!$B$26:$L$26,0)),0)</f>
        <v>0</v>
      </c>
    </row>
    <row r="238" spans="1:8" x14ac:dyDescent="0.2">
      <c r="A238" t="s">
        <v>11</v>
      </c>
      <c r="B238" t="s">
        <v>206</v>
      </c>
      <c r="C238" t="s">
        <v>86</v>
      </c>
      <c r="D238" s="11">
        <f>INDEX(PlasticsUse!$B$48:$L$64,MATCH('CompilationCalcs - Di et al.EOL'!$A238,PlasticsUse!$A$48:$A$64,0),MATCH('CompilationCalcs - Di et al.EOL'!$C238,PlasticsUse!$B$47:$L$47,0))</f>
        <v>0.20617443319212375</v>
      </c>
      <c r="E238" s="11" t="str">
        <f>IF('CompilationCalcs - Di et al.EOL'!C238=PlasticsUse!$D$93,Conversions!$A$17,IF('CompilationCalcs - Di et al.EOL'!C238=PlasticsUse!$L$93,Conversions!$A$18,Conversions!$A$16))</f>
        <v>Transfer Station</v>
      </c>
      <c r="F238" s="11">
        <f>INDEX('In-Use Stocks'!$M$81:$V$97,MATCH('CompilationCalcs - Di et al.EOL'!$A238,'In-Use Stocks'!$L$81:$L$97,0),MATCH('CompilationCalcs - Di et al.EOL'!$C238,'In-Use Stocks'!$M$80:$V$80,0))</f>
        <v>0.17713092534936231</v>
      </c>
      <c r="G238" t="s">
        <v>191</v>
      </c>
      <c r="H238" s="11">
        <f>IFERROR(INDEX(EndOfLife!$L$64:$P$78,MATCH($A238,EndOfLife!$A$64:$A$78,0),MATCH($G238,EndOfLife!$L$63:$P$63,0))*INDEX(PlasticsUse!$B$27:$L$41,MATCH('CompilationCalcs - Di et al.EOL'!$A238,PlasticsUse!$A$27:$A$41,0),MATCH('CompilationCalcs - Di et al.EOL'!$C238,PlasticsUse!$B$26:$L$26,0)),0)</f>
        <v>1.9268546561702314E-3</v>
      </c>
    </row>
    <row r="239" spans="1:8" x14ac:dyDescent="0.2">
      <c r="A239" t="s">
        <v>11</v>
      </c>
      <c r="B239" t="s">
        <v>206</v>
      </c>
      <c r="C239" t="s">
        <v>18</v>
      </c>
      <c r="D239" s="11">
        <f>INDEX(PlasticsUse!$B$48:$L$64,MATCH('CompilationCalcs - Di et al.EOL'!$A239,PlasticsUse!$A$48:$A$64,0),MATCH('CompilationCalcs - Di et al.EOL'!$C239,PlasticsUse!$B$47:$L$47,0))</f>
        <v>0.20617443319212375</v>
      </c>
      <c r="E239" s="11" t="str">
        <f>IF('CompilationCalcs - Di et al.EOL'!C239=PlasticsUse!$D$93,Conversions!$A$17,IF('CompilationCalcs - Di et al.EOL'!C239=PlasticsUse!$L$93,Conversions!$A$18,Conversions!$A$16))</f>
        <v>N/A</v>
      </c>
      <c r="F239" s="11">
        <v>0</v>
      </c>
      <c r="G239" t="s">
        <v>287</v>
      </c>
      <c r="H239" s="11">
        <f>IFERROR(INDEX(EndOfLife!$L$64:$P$78,MATCH($A239,EndOfLife!$A$64:$A$78,0),MATCH($G239,EndOfLife!$L$63:$P$63,0))*INDEX(PlasticsUse!$B$27:$L$41,MATCH('CompilationCalcs - Di et al.EOL'!$A239,PlasticsUse!$A$27:$A$41,0),MATCH('CompilationCalcs - Di et al.EOL'!$C239,PlasticsUse!$B$26:$L$26,0)),0)</f>
        <v>0</v>
      </c>
    </row>
    <row r="240" spans="1:8" x14ac:dyDescent="0.2">
      <c r="A240" t="s">
        <v>11</v>
      </c>
      <c r="B240" t="s">
        <v>207</v>
      </c>
      <c r="C240" t="s">
        <v>38</v>
      </c>
      <c r="D240" s="11"/>
      <c r="E240" s="11" t="str">
        <f>IF('CompilationCalcs - Di et al.EOL'!C240=PlasticsUse!$D$93,Conversions!$A$17,IF('CompilationCalcs - Di et al.EOL'!C240=PlasticsUse!$L$93,Conversions!$A$18,Conversions!$A$16))</f>
        <v>Transfer Station</v>
      </c>
      <c r="F240" s="11">
        <f t="shared" si="4"/>
        <v>0</v>
      </c>
      <c r="G240" t="s">
        <v>5</v>
      </c>
      <c r="H240" s="11">
        <f>IFERROR(INDEX(EndOfLife!$L$64:$P$78,MATCH($A240,EndOfLife!$A$64:$A$78,0),MATCH($G240,EndOfLife!$L$63:$P$63,0))*INDEX(PlasticsUse!$B$27:$L$41,MATCH('CompilationCalcs - Di et al.EOL'!$A240,PlasticsUse!$A$27:$A$41,0),MATCH('CompilationCalcs - Di et al.EOL'!$C240,PlasticsUse!$B$26:$L$26,0)),0)</f>
        <v>2.6262315313727597E-2</v>
      </c>
    </row>
    <row r="241" spans="1:8" x14ac:dyDescent="0.2">
      <c r="A241" t="s">
        <v>11</v>
      </c>
      <c r="B241" t="s">
        <v>207</v>
      </c>
      <c r="C241" t="s">
        <v>99</v>
      </c>
      <c r="D241" s="11"/>
      <c r="E241" s="11" t="str">
        <f>IF('CompilationCalcs - Di et al.EOL'!C241=PlasticsUse!$D$93,Conversions!$A$17,IF('CompilationCalcs - Di et al.EOL'!C241=PlasticsUse!$L$93,Conversions!$A$18,Conversions!$A$16))</f>
        <v>Transfer Station</v>
      </c>
      <c r="F241" s="11">
        <f t="shared" si="4"/>
        <v>0</v>
      </c>
      <c r="G241" t="s">
        <v>5</v>
      </c>
      <c r="H241" s="11">
        <f>IFERROR(INDEX(EndOfLife!$L$64:$P$78,MATCH($A241,EndOfLife!$A$64:$A$78,0),MATCH($G241,EndOfLife!$L$63:$P$63,0))*INDEX(PlasticsUse!$B$27:$L$41,MATCH('CompilationCalcs - Di et al.EOL'!$A241,PlasticsUse!$A$27:$A$41,0),MATCH('CompilationCalcs - Di et al.EOL'!$C241,PlasticsUse!$B$26:$L$26,0)),0)</f>
        <v>2.6262315313727597E-2</v>
      </c>
    </row>
    <row r="242" spans="1:8" x14ac:dyDescent="0.2">
      <c r="A242" t="s">
        <v>11</v>
      </c>
      <c r="B242" t="s">
        <v>207</v>
      </c>
      <c r="C242" t="s">
        <v>69</v>
      </c>
      <c r="D242" s="11"/>
      <c r="E242" s="11" t="str">
        <f>IF('CompilationCalcs - Di et al.EOL'!C242=PlasticsUse!$D$93,Conversions!$A$17,IF('CompilationCalcs - Di et al.EOL'!C242=PlasticsUse!$L$93,Conversions!$A$18,Conversions!$A$16))</f>
        <v>Automotive Shredding Facility</v>
      </c>
      <c r="F242" s="11">
        <f t="shared" si="4"/>
        <v>0</v>
      </c>
      <c r="G242" t="s">
        <v>5</v>
      </c>
      <c r="H242" s="11">
        <f>IFERROR(INDEX(EndOfLife!$L$64:$P$78,MATCH($A242,EndOfLife!$A$64:$A$78,0),MATCH($G242,EndOfLife!$L$63:$P$63,0))*INDEX(PlasticsUse!$B$27:$L$41,MATCH('CompilationCalcs - Di et al.EOL'!$A242,PlasticsUse!$A$27:$A$41,0),MATCH('CompilationCalcs - Di et al.EOL'!$C242,PlasticsUse!$B$26:$L$26,0)),0)</f>
        <v>2.6262315313727597E-2</v>
      </c>
    </row>
    <row r="243" spans="1:8" x14ac:dyDescent="0.2">
      <c r="A243" t="s">
        <v>11</v>
      </c>
      <c r="B243" t="s">
        <v>207</v>
      </c>
      <c r="C243" t="s">
        <v>100</v>
      </c>
      <c r="D243" s="11"/>
      <c r="E243" s="11" t="str">
        <f>IF('CompilationCalcs - Di et al.EOL'!C243=PlasticsUse!$D$93,Conversions!$A$17,IF('CompilationCalcs - Di et al.EOL'!C243=PlasticsUse!$L$93,Conversions!$A$18,Conversions!$A$16))</f>
        <v>Transfer Station</v>
      </c>
      <c r="F243" s="11">
        <f t="shared" si="4"/>
        <v>0</v>
      </c>
      <c r="G243" t="s">
        <v>5</v>
      </c>
      <c r="H243" s="11">
        <f>IFERROR(INDEX(EndOfLife!$L$64:$P$78,MATCH($A243,EndOfLife!$A$64:$A$78,0),MATCH($G243,EndOfLife!$L$63:$P$63,0))*INDEX(PlasticsUse!$B$27:$L$41,MATCH('CompilationCalcs - Di et al.EOL'!$A243,PlasticsUse!$A$27:$A$41,0),MATCH('CompilationCalcs - Di et al.EOL'!$C243,PlasticsUse!$B$26:$L$26,0)),0)</f>
        <v>2.6262315313727597E-2</v>
      </c>
    </row>
    <row r="244" spans="1:8" x14ac:dyDescent="0.2">
      <c r="A244" t="s">
        <v>11</v>
      </c>
      <c r="B244" t="s">
        <v>207</v>
      </c>
      <c r="C244" t="s">
        <v>39</v>
      </c>
      <c r="D244" s="11"/>
      <c r="E244" s="11" t="str">
        <f>IF('CompilationCalcs - Di et al.EOL'!C244=PlasticsUse!$D$93,Conversions!$A$17,IF('CompilationCalcs - Di et al.EOL'!C244=PlasticsUse!$L$93,Conversions!$A$18,Conversions!$A$16))</f>
        <v>Transfer Station</v>
      </c>
      <c r="F244" s="11">
        <f t="shared" si="4"/>
        <v>0</v>
      </c>
      <c r="G244" t="s">
        <v>5</v>
      </c>
      <c r="H244" s="11">
        <f>IFERROR(INDEX(EndOfLife!$L$64:$P$78,MATCH($A244,EndOfLife!$A$64:$A$78,0),MATCH($G244,EndOfLife!$L$63:$P$63,0))*INDEX(PlasticsUse!$B$27:$L$41,MATCH('CompilationCalcs - Di et al.EOL'!$A244,PlasticsUse!$A$27:$A$41,0),MATCH('CompilationCalcs - Di et al.EOL'!$C244,PlasticsUse!$B$26:$L$26,0)),0)</f>
        <v>2.6262315313727597E-2</v>
      </c>
    </row>
    <row r="245" spans="1:8" x14ac:dyDescent="0.2">
      <c r="A245" t="s">
        <v>11</v>
      </c>
      <c r="B245" t="s">
        <v>207</v>
      </c>
      <c r="C245" t="s">
        <v>63</v>
      </c>
      <c r="D245" s="11"/>
      <c r="E245" s="11" t="str">
        <f>IF('CompilationCalcs - Di et al.EOL'!C245=PlasticsUse!$D$93,Conversions!$A$17,IF('CompilationCalcs - Di et al.EOL'!C245=PlasticsUse!$L$93,Conversions!$A$18,Conversions!$A$16))</f>
        <v>Transfer Station</v>
      </c>
      <c r="F245" s="11">
        <f t="shared" si="4"/>
        <v>0</v>
      </c>
      <c r="G245" t="s">
        <v>5</v>
      </c>
      <c r="H245" s="11">
        <f>IFERROR(INDEX(EndOfLife!$L$64:$P$78,MATCH($A245,EndOfLife!$A$64:$A$78,0),MATCH($G245,EndOfLife!$L$63:$P$63,0))*INDEX(PlasticsUse!$B$27:$L$41,MATCH('CompilationCalcs - Di et al.EOL'!$A245,PlasticsUse!$A$27:$A$41,0),MATCH('CompilationCalcs - Di et al.EOL'!$C245,PlasticsUse!$B$26:$L$26,0)),0)</f>
        <v>2.6262315313727597E-2</v>
      </c>
    </row>
    <row r="246" spans="1:8" x14ac:dyDescent="0.2">
      <c r="A246" t="s">
        <v>11</v>
      </c>
      <c r="B246" t="s">
        <v>207</v>
      </c>
      <c r="C246" t="s">
        <v>92</v>
      </c>
      <c r="D246" s="11"/>
      <c r="E246" s="11" t="str">
        <f>IF('CompilationCalcs - Di et al.EOL'!C246=PlasticsUse!$D$93,Conversions!$A$17,IF('CompilationCalcs - Di et al.EOL'!C246=PlasticsUse!$L$93,Conversions!$A$18,Conversions!$A$16))</f>
        <v>Transfer Station</v>
      </c>
      <c r="F246" s="11">
        <f t="shared" si="4"/>
        <v>0</v>
      </c>
      <c r="G246" t="s">
        <v>5</v>
      </c>
      <c r="H246" s="11">
        <f>IFERROR(INDEX(EndOfLife!$L$64:$P$78,MATCH($A246,EndOfLife!$A$64:$A$78,0),MATCH($G246,EndOfLife!$L$63:$P$63,0))*INDEX(PlasticsUse!$B$27:$L$41,MATCH('CompilationCalcs - Di et al.EOL'!$A246,PlasticsUse!$A$27:$A$41,0),MATCH('CompilationCalcs - Di et al.EOL'!$C246,PlasticsUse!$B$26:$L$26,0)),0)</f>
        <v>2.6262315313727597E-2</v>
      </c>
    </row>
    <row r="247" spans="1:8" x14ac:dyDescent="0.2">
      <c r="A247" t="s">
        <v>11</v>
      </c>
      <c r="B247" t="s">
        <v>207</v>
      </c>
      <c r="C247" t="s">
        <v>103</v>
      </c>
      <c r="D247" s="11"/>
      <c r="E247" s="11" t="str">
        <f>IF('CompilationCalcs - Di et al.EOL'!C247=PlasticsUse!$D$93,Conversions!$A$17,IF('CompilationCalcs - Di et al.EOL'!C247=PlasticsUse!$L$93,Conversions!$A$18,Conversions!$A$16))</f>
        <v>Transfer Station</v>
      </c>
      <c r="F247" s="11">
        <f t="shared" si="4"/>
        <v>0</v>
      </c>
      <c r="G247" t="s">
        <v>5</v>
      </c>
      <c r="H247" s="11">
        <f>IFERROR(INDEX(EndOfLife!$L$64:$P$78,MATCH($A247,EndOfLife!$A$64:$A$78,0),MATCH($G247,EndOfLife!$L$63:$P$63,0))*INDEX(PlasticsUse!$B$27:$L$41,MATCH('CompilationCalcs - Di et al.EOL'!$A247,PlasticsUse!$A$27:$A$41,0),MATCH('CompilationCalcs - Di et al.EOL'!$C247,PlasticsUse!$B$26:$L$26,0)),0)</f>
        <v>0</v>
      </c>
    </row>
    <row r="248" spans="1:8" x14ac:dyDescent="0.2">
      <c r="A248" t="s">
        <v>11</v>
      </c>
      <c r="B248" t="s">
        <v>207</v>
      </c>
      <c r="C248" t="s">
        <v>86</v>
      </c>
      <c r="D248" s="11"/>
      <c r="E248" s="11" t="str">
        <f>IF('CompilationCalcs - Di et al.EOL'!C248=PlasticsUse!$D$93,Conversions!$A$17,IF('CompilationCalcs - Di et al.EOL'!C248=PlasticsUse!$L$93,Conversions!$A$18,Conversions!$A$16))</f>
        <v>Transfer Station</v>
      </c>
      <c r="F248" s="11">
        <f t="shared" si="4"/>
        <v>0</v>
      </c>
      <c r="G248" t="s">
        <v>5</v>
      </c>
      <c r="H248" s="11">
        <f>IFERROR(INDEX(EndOfLife!$L$64:$P$78,MATCH($A248,EndOfLife!$A$64:$A$78,0),MATCH($G248,EndOfLife!$L$63:$P$63,0))*INDEX(PlasticsUse!$B$27:$L$41,MATCH('CompilationCalcs - Di et al.EOL'!$A248,PlasticsUse!$A$27:$A$41,0),MATCH('CompilationCalcs - Di et al.EOL'!$C248,PlasticsUse!$B$26:$L$26,0)),0)</f>
        <v>2.6262315313727597E-2</v>
      </c>
    </row>
    <row r="249" spans="1:8" x14ac:dyDescent="0.2">
      <c r="A249" t="s">
        <v>11</v>
      </c>
      <c r="B249" t="s">
        <v>207</v>
      </c>
      <c r="C249" t="s">
        <v>18</v>
      </c>
      <c r="D249" s="11"/>
      <c r="E249" s="11" t="str">
        <f>IF('CompilationCalcs - Di et al.EOL'!C249=PlasticsUse!$D$93,Conversions!$A$17,IF('CompilationCalcs - Di et al.EOL'!C249=PlasticsUse!$L$93,Conversions!$A$18,Conversions!$A$16))</f>
        <v>N/A</v>
      </c>
      <c r="F249" s="11">
        <f t="shared" si="4"/>
        <v>0</v>
      </c>
      <c r="G249" t="s">
        <v>287</v>
      </c>
      <c r="H249" s="11">
        <f>IFERROR(INDEX(EndOfLife!$L$64:$P$78,MATCH($A249,EndOfLife!$A$64:$A$78,0),MATCH($G249,EndOfLife!$L$63:$P$63,0))*INDEX(PlasticsUse!$B$27:$L$41,MATCH('CompilationCalcs - Di et al.EOL'!$A249,PlasticsUse!$A$27:$A$41,0),MATCH('CompilationCalcs - Di et al.EOL'!$C249,PlasticsUse!$B$26:$L$26,0)),0)</f>
        <v>0</v>
      </c>
    </row>
    <row r="250" spans="1:8" x14ac:dyDescent="0.2">
      <c r="A250" t="s">
        <v>11</v>
      </c>
      <c r="B250" t="s">
        <v>207</v>
      </c>
      <c r="C250" t="s">
        <v>99</v>
      </c>
      <c r="D250" s="11"/>
      <c r="E250" s="11" t="str">
        <f>IF('CompilationCalcs - Di et al.EOL'!C250=PlasticsUse!$D$93,Conversions!$A$17,IF('CompilationCalcs - Di et al.EOL'!C250=PlasticsUse!$L$93,Conversions!$A$18,Conversions!$A$16))</f>
        <v>Transfer Station</v>
      </c>
      <c r="F250" s="11">
        <f t="shared" si="4"/>
        <v>0</v>
      </c>
      <c r="G250" t="s">
        <v>6</v>
      </c>
      <c r="H250" s="11">
        <f>IFERROR(INDEX(EndOfLife!$L$64:$P$78,MATCH($A250,EndOfLife!$A$64:$A$78,0),MATCH($G250,EndOfLife!$L$63:$P$63,0))*INDEX(PlasticsUse!$B$27:$L$41,MATCH('CompilationCalcs - Di et al.EOL'!$A250,PlasticsUse!$A$27:$A$41,0),MATCH('CompilationCalcs - Di et al.EOL'!$C250,PlasticsUse!$B$26:$L$26,0)),0)</f>
        <v>0.11973770048158508</v>
      </c>
    </row>
    <row r="251" spans="1:8" x14ac:dyDescent="0.2">
      <c r="A251" t="s">
        <v>11</v>
      </c>
      <c r="B251" t="s">
        <v>207</v>
      </c>
      <c r="C251" t="s">
        <v>69</v>
      </c>
      <c r="D251" s="11"/>
      <c r="E251" s="11" t="str">
        <f>IF('CompilationCalcs - Di et al.EOL'!C251=PlasticsUse!$D$93,Conversions!$A$17,IF('CompilationCalcs - Di et al.EOL'!C251=PlasticsUse!$L$93,Conversions!$A$18,Conversions!$A$16))</f>
        <v>Automotive Shredding Facility</v>
      </c>
      <c r="F251" s="11">
        <f t="shared" si="4"/>
        <v>0</v>
      </c>
      <c r="G251" t="s">
        <v>6</v>
      </c>
      <c r="H251" s="11">
        <f>IFERROR(INDEX(EndOfLife!$L$64:$P$78,MATCH($A251,EndOfLife!$A$64:$A$78,0),MATCH($G251,EndOfLife!$L$63:$P$63,0))*INDEX(PlasticsUse!$B$27:$L$41,MATCH('CompilationCalcs - Di et al.EOL'!$A251,PlasticsUse!$A$27:$A$41,0),MATCH('CompilationCalcs - Di et al.EOL'!$C251,PlasticsUse!$B$26:$L$26,0)),0)</f>
        <v>0.11973770048158508</v>
      </c>
    </row>
    <row r="252" spans="1:8" x14ac:dyDescent="0.2">
      <c r="A252" t="s">
        <v>11</v>
      </c>
      <c r="B252" t="s">
        <v>207</v>
      </c>
      <c r="C252" t="s">
        <v>100</v>
      </c>
      <c r="D252" s="11"/>
      <c r="E252" s="11" t="str">
        <f>IF('CompilationCalcs - Di et al.EOL'!C252=PlasticsUse!$D$93,Conversions!$A$17,IF('CompilationCalcs - Di et al.EOL'!C252=PlasticsUse!$L$93,Conversions!$A$18,Conversions!$A$16))</f>
        <v>Transfer Station</v>
      </c>
      <c r="F252" s="11">
        <f t="shared" si="4"/>
        <v>0</v>
      </c>
      <c r="G252" t="s">
        <v>6</v>
      </c>
      <c r="H252" s="11">
        <f>IFERROR(INDEX(EndOfLife!$L$64:$P$78,MATCH($A252,EndOfLife!$A$64:$A$78,0),MATCH($G252,EndOfLife!$L$63:$P$63,0))*INDEX(PlasticsUse!$B$27:$L$41,MATCH('CompilationCalcs - Di et al.EOL'!$A252,PlasticsUse!$A$27:$A$41,0),MATCH('CompilationCalcs - Di et al.EOL'!$C252,PlasticsUse!$B$26:$L$26,0)),0)</f>
        <v>0.11973770048158508</v>
      </c>
    </row>
    <row r="253" spans="1:8" x14ac:dyDescent="0.2">
      <c r="A253" t="s">
        <v>11</v>
      </c>
      <c r="B253" t="s">
        <v>207</v>
      </c>
      <c r="C253" t="s">
        <v>39</v>
      </c>
      <c r="D253" s="11"/>
      <c r="E253" s="11" t="str">
        <f>IF('CompilationCalcs - Di et al.EOL'!C253=PlasticsUse!$D$93,Conversions!$A$17,IF('CompilationCalcs - Di et al.EOL'!C253=PlasticsUse!$L$93,Conversions!$A$18,Conversions!$A$16))</f>
        <v>Transfer Station</v>
      </c>
      <c r="F253" s="11">
        <f t="shared" si="4"/>
        <v>0</v>
      </c>
      <c r="G253" t="s">
        <v>6</v>
      </c>
      <c r="H253" s="11">
        <f>IFERROR(INDEX(EndOfLife!$L$64:$P$78,MATCH($A253,EndOfLife!$A$64:$A$78,0),MATCH($G253,EndOfLife!$L$63:$P$63,0))*INDEX(PlasticsUse!$B$27:$L$41,MATCH('CompilationCalcs - Di et al.EOL'!$A253,PlasticsUse!$A$27:$A$41,0),MATCH('CompilationCalcs - Di et al.EOL'!$C253,PlasticsUse!$B$26:$L$26,0)),0)</f>
        <v>0.11973770048158508</v>
      </c>
    </row>
    <row r="254" spans="1:8" x14ac:dyDescent="0.2">
      <c r="A254" t="s">
        <v>11</v>
      </c>
      <c r="B254" t="s">
        <v>207</v>
      </c>
      <c r="C254" t="s">
        <v>68</v>
      </c>
      <c r="D254" s="11"/>
      <c r="E254" s="11" t="str">
        <f>IF('CompilationCalcs - Di et al.EOL'!C254=PlasticsUse!$D$93,Conversions!$A$17,IF('CompilationCalcs - Di et al.EOL'!C254=PlasticsUse!$L$93,Conversions!$A$18,Conversions!$A$16))</f>
        <v>Transfer Station</v>
      </c>
      <c r="F254" s="11">
        <f t="shared" si="4"/>
        <v>0</v>
      </c>
      <c r="G254" t="s">
        <v>6</v>
      </c>
      <c r="H254" s="11">
        <f>IFERROR(INDEX(EndOfLife!$L$64:$P$78,MATCH($A254,EndOfLife!$A$64:$A$78,0),MATCH($G254,EndOfLife!$L$63:$P$63,0))*INDEX(PlasticsUse!$B$27:$L$41,MATCH('CompilationCalcs - Di et al.EOL'!$A254,PlasticsUse!$A$27:$A$41,0),MATCH('CompilationCalcs - Di et al.EOL'!$C254,PlasticsUse!$B$26:$L$26,0)),0)</f>
        <v>0.11973770048158508</v>
      </c>
    </row>
    <row r="255" spans="1:8" x14ac:dyDescent="0.2">
      <c r="A255" t="s">
        <v>11</v>
      </c>
      <c r="B255" t="s">
        <v>207</v>
      </c>
      <c r="C255" t="s">
        <v>63</v>
      </c>
      <c r="D255" s="11"/>
      <c r="E255" s="11" t="str">
        <f>IF('CompilationCalcs - Di et al.EOL'!C255=PlasticsUse!$D$93,Conversions!$A$17,IF('CompilationCalcs - Di et al.EOL'!C255=PlasticsUse!$L$93,Conversions!$A$18,Conversions!$A$16))</f>
        <v>Transfer Station</v>
      </c>
      <c r="F255" s="11">
        <f t="shared" si="4"/>
        <v>0</v>
      </c>
      <c r="G255" t="s">
        <v>6</v>
      </c>
      <c r="H255" s="11">
        <f>IFERROR(INDEX(EndOfLife!$L$64:$P$78,MATCH($A255,EndOfLife!$A$64:$A$78,0),MATCH($G255,EndOfLife!$L$63:$P$63,0))*INDEX(PlasticsUse!$B$27:$L$41,MATCH('CompilationCalcs - Di et al.EOL'!$A255,PlasticsUse!$A$27:$A$41,0),MATCH('CompilationCalcs - Di et al.EOL'!$C255,PlasticsUse!$B$26:$L$26,0)),0)</f>
        <v>0.11973770048158508</v>
      </c>
    </row>
    <row r="256" spans="1:8" x14ac:dyDescent="0.2">
      <c r="A256" t="s">
        <v>11</v>
      </c>
      <c r="B256" t="s">
        <v>207</v>
      </c>
      <c r="C256" t="s">
        <v>92</v>
      </c>
      <c r="D256" s="11"/>
      <c r="E256" s="11" t="str">
        <f>IF('CompilationCalcs - Di et al.EOL'!C256=PlasticsUse!$D$93,Conversions!$A$17,IF('CompilationCalcs - Di et al.EOL'!C256=PlasticsUse!$L$93,Conversions!$A$18,Conversions!$A$16))</f>
        <v>Transfer Station</v>
      </c>
      <c r="F256" s="11">
        <f t="shared" si="4"/>
        <v>0</v>
      </c>
      <c r="G256" t="s">
        <v>6</v>
      </c>
      <c r="H256" s="11">
        <f>IFERROR(INDEX(EndOfLife!$L$64:$P$78,MATCH($A256,EndOfLife!$A$64:$A$78,0),MATCH($G256,EndOfLife!$L$63:$P$63,0))*INDEX(PlasticsUse!$B$27:$L$41,MATCH('CompilationCalcs - Di et al.EOL'!$A256,PlasticsUse!$A$27:$A$41,0),MATCH('CompilationCalcs - Di et al.EOL'!$C256,PlasticsUse!$B$26:$L$26,0)),0)</f>
        <v>0.11973770048158508</v>
      </c>
    </row>
    <row r="257" spans="1:8" x14ac:dyDescent="0.2">
      <c r="A257" t="s">
        <v>11</v>
      </c>
      <c r="B257" t="s">
        <v>207</v>
      </c>
      <c r="C257" t="s">
        <v>103</v>
      </c>
      <c r="D257" s="11"/>
      <c r="E257" s="11" t="str">
        <f>IF('CompilationCalcs - Di et al.EOL'!C257=PlasticsUse!$D$93,Conversions!$A$17,IF('CompilationCalcs - Di et al.EOL'!C257=PlasticsUse!$L$93,Conversions!$A$18,Conversions!$A$16))</f>
        <v>Transfer Station</v>
      </c>
      <c r="F257" s="11">
        <f t="shared" si="4"/>
        <v>0</v>
      </c>
      <c r="G257" t="s">
        <v>6</v>
      </c>
      <c r="H257" s="11">
        <f>IFERROR(INDEX(EndOfLife!$L$64:$P$78,MATCH($A257,EndOfLife!$A$64:$A$78,0),MATCH($G257,EndOfLife!$L$63:$P$63,0))*INDEX(PlasticsUse!$B$27:$L$41,MATCH('CompilationCalcs - Di et al.EOL'!$A257,PlasticsUse!$A$27:$A$41,0),MATCH('CompilationCalcs - Di et al.EOL'!$C257,PlasticsUse!$B$26:$L$26,0)),0)</f>
        <v>0</v>
      </c>
    </row>
    <row r="258" spans="1:8" x14ac:dyDescent="0.2">
      <c r="A258" t="s">
        <v>11</v>
      </c>
      <c r="B258" t="s">
        <v>207</v>
      </c>
      <c r="C258" t="s">
        <v>86</v>
      </c>
      <c r="D258" s="11"/>
      <c r="E258" s="11" t="str">
        <f>IF('CompilationCalcs - Di et al.EOL'!C258=PlasticsUse!$D$93,Conversions!$A$17,IF('CompilationCalcs - Di et al.EOL'!C258=PlasticsUse!$L$93,Conversions!$A$18,Conversions!$A$16))</f>
        <v>Transfer Station</v>
      </c>
      <c r="F258" s="11">
        <f t="shared" si="4"/>
        <v>0</v>
      </c>
      <c r="G258" t="s">
        <v>6</v>
      </c>
      <c r="H258" s="11">
        <f>IFERROR(INDEX(EndOfLife!$L$64:$P$78,MATCH($A258,EndOfLife!$A$64:$A$78,0),MATCH($G258,EndOfLife!$L$63:$P$63,0))*INDEX(PlasticsUse!$B$27:$L$41,MATCH('CompilationCalcs - Di et al.EOL'!$A258,PlasticsUse!$A$27:$A$41,0),MATCH('CompilationCalcs - Di et al.EOL'!$C258,PlasticsUse!$B$26:$L$26,0)),0)</f>
        <v>0.11973770048158508</v>
      </c>
    </row>
    <row r="259" spans="1:8" x14ac:dyDescent="0.2">
      <c r="A259" t="s">
        <v>11</v>
      </c>
      <c r="B259" t="s">
        <v>207</v>
      </c>
      <c r="C259" t="s">
        <v>18</v>
      </c>
      <c r="D259" s="11"/>
      <c r="E259" s="11" t="str">
        <f>IF('CompilationCalcs - Di et al.EOL'!C259=PlasticsUse!$D$93,Conversions!$A$17,IF('CompilationCalcs - Di et al.EOL'!C259=PlasticsUse!$L$93,Conversions!$A$18,Conversions!$A$16))</f>
        <v>N/A</v>
      </c>
      <c r="F259" s="11">
        <f t="shared" si="4"/>
        <v>0</v>
      </c>
      <c r="G259" t="s">
        <v>287</v>
      </c>
      <c r="H259" s="11">
        <f>IFERROR(INDEX(EndOfLife!$L$64:$P$78,MATCH($A259,EndOfLife!$A$64:$A$78,0),MATCH($G259,EndOfLife!$L$63:$P$63,0))*INDEX(PlasticsUse!$B$27:$L$41,MATCH('CompilationCalcs - Di et al.EOL'!$A259,PlasticsUse!$A$27:$A$41,0),MATCH('CompilationCalcs - Di et al.EOL'!$C259,PlasticsUse!$B$26:$L$26,0)),0)</f>
        <v>0</v>
      </c>
    </row>
    <row r="260" spans="1:8" ht="17" x14ac:dyDescent="0.2">
      <c r="A260" t="s">
        <v>11</v>
      </c>
      <c r="B260" t="s">
        <v>207</v>
      </c>
      <c r="E260" s="11" t="s">
        <v>191</v>
      </c>
      <c r="F260" s="11">
        <f t="shared" si="4"/>
        <v>0</v>
      </c>
      <c r="G260" s="28" t="s">
        <v>360</v>
      </c>
      <c r="H260" s="11">
        <f>INDEX(EndOfLife!$T$64:$X$78,MATCH('CompilationCalcs - Di et al.EOL'!$A260,EndOfLife!$S$64:$S$78,0),MATCH('CompilationCalcs - Di et al.EOL'!$G260,EndOfLife!$T$63:$X$63,0))</f>
        <v>1.8055670057129148E-2</v>
      </c>
    </row>
    <row r="261" spans="1:8" ht="17" x14ac:dyDescent="0.2">
      <c r="A261" t="s">
        <v>11</v>
      </c>
      <c r="B261" t="s">
        <v>207</v>
      </c>
      <c r="E261" s="11" t="s">
        <v>191</v>
      </c>
      <c r="F261" s="11">
        <f t="shared" si="4"/>
        <v>0</v>
      </c>
      <c r="G261" s="28" t="s">
        <v>361</v>
      </c>
      <c r="H261" s="11">
        <f>INDEX(EndOfLife!$T$64:$X$78,MATCH('CompilationCalcs - Di et al.EOL'!$A261,EndOfLife!$S$64:$S$78,0),MATCH('CompilationCalcs - Di et al.EOL'!$G261,EndOfLife!$T$63:$X$63,0))</f>
        <v>3.1401165316746341E-3</v>
      </c>
    </row>
    <row r="262" spans="1:8" ht="17" x14ac:dyDescent="0.2">
      <c r="A262" t="s">
        <v>11</v>
      </c>
      <c r="B262" t="s">
        <v>207</v>
      </c>
      <c r="E262" s="11" t="s">
        <v>360</v>
      </c>
      <c r="F262" s="11">
        <f t="shared" si="4"/>
        <v>0</v>
      </c>
      <c r="G262" s="28" t="s">
        <v>192</v>
      </c>
      <c r="H262" s="11">
        <f>INDEX(EndOfLife!$T$64:$X$78,MATCH('CompilationCalcs - Di et al.EOL'!$A262,EndOfLife!$S$64:$S$78,0),MATCH('CompilationCalcs - Di et al.EOL'!$G262,EndOfLife!$T$63:$X$63,0))</f>
        <v>1.8055670057129148E-2</v>
      </c>
    </row>
    <row r="263" spans="1:8" ht="17" x14ac:dyDescent="0.2">
      <c r="A263" t="s">
        <v>11</v>
      </c>
      <c r="B263" t="s">
        <v>207</v>
      </c>
      <c r="E263" s="11" t="s">
        <v>191</v>
      </c>
      <c r="F263" s="11">
        <f t="shared" si="4"/>
        <v>0</v>
      </c>
      <c r="G263" s="28" t="s">
        <v>193</v>
      </c>
      <c r="H263" s="11">
        <f>INDEX(EndOfLife!$T$64:$X$78,MATCH('CompilationCalcs - Di et al.EOL'!$A263,EndOfLife!$S$64:$S$78,0),MATCH('CompilationCalcs - Di et al.EOL'!$G263,EndOfLife!$T$63:$X$63,0))</f>
        <v>0</v>
      </c>
    </row>
    <row r="264" spans="1:8" x14ac:dyDescent="0.2">
      <c r="A264" t="s">
        <v>25</v>
      </c>
      <c r="B264" t="s">
        <v>206</v>
      </c>
      <c r="C264" t="s">
        <v>38</v>
      </c>
      <c r="D264" s="11">
        <f>INDEX(PlasticsUse!$B$48:$L$64,MATCH('CompilationCalcs - Di et al.EOL'!$A264,PlasticsUse!$A$48:$A$64,0),MATCH('CompilationCalcs - Di et al.EOL'!$C264,PlasticsUse!$B$47:$L$47,0))</f>
        <v>0.20617443319212375</v>
      </c>
      <c r="E264" s="11" t="str">
        <f>IF('CompilationCalcs - Di et al.EOL'!C264=PlasticsUse!$D$93,Conversions!$A$17,IF('CompilationCalcs - Di et al.EOL'!C264=PlasticsUse!$L$93,Conversions!$A$18,Conversions!$A$16))</f>
        <v>Transfer Station</v>
      </c>
      <c r="F264" s="11">
        <f>INDEX('In-Use Stocks'!$M$81:$V$97,MATCH('CompilationCalcs - Di et al.EOL'!$A264,'In-Use Stocks'!$L$81:$L$97,0),MATCH('CompilationCalcs - Di et al.EOL'!$C264,'In-Use Stocks'!$M$80:$V$80,0))</f>
        <v>8.3565224365372767E-2</v>
      </c>
      <c r="G264" t="s">
        <v>191</v>
      </c>
      <c r="H264" s="11">
        <f>IFERROR(INDEX(EndOfLife!$L$64:$P$78,MATCH($A264,EndOfLife!$A$64:$A$78,0),MATCH($G264,EndOfLife!$L$63:$P$63,0))*INDEX(PlasticsUse!$B$27:$L$41,MATCH('CompilationCalcs - Di et al.EOL'!$A264,PlasticsUse!$A$27:$A$41,0),MATCH('CompilationCalcs - Di et al.EOL'!$C264,PlasticsUse!$B$26:$L$26,0)),0)</f>
        <v>1.9786648655829241E-3</v>
      </c>
    </row>
    <row r="265" spans="1:8" x14ac:dyDescent="0.2">
      <c r="A265" t="s">
        <v>25</v>
      </c>
      <c r="B265" t="s">
        <v>206</v>
      </c>
      <c r="C265" t="s">
        <v>99</v>
      </c>
      <c r="D265" s="11">
        <f>INDEX(PlasticsUse!$B$48:$L$64,MATCH('CompilationCalcs - Di et al.EOL'!$A265,PlasticsUse!$A$48:$A$64,0),MATCH('CompilationCalcs - Di et al.EOL'!$C265,PlasticsUse!$B$47:$L$47,0))</f>
        <v>0.20617443319212375</v>
      </c>
      <c r="E265" s="11" t="str">
        <f>IF('CompilationCalcs - Di et al.EOL'!C265=PlasticsUse!$D$93,Conversions!$A$17,IF('CompilationCalcs - Di et al.EOL'!C265=PlasticsUse!$L$93,Conversions!$A$18,Conversions!$A$16))</f>
        <v>Transfer Station</v>
      </c>
      <c r="F265" s="11">
        <f>INDEX('In-Use Stocks'!$M$81:$V$97,MATCH('CompilationCalcs - Di et al.EOL'!$A265,'In-Use Stocks'!$L$81:$L$97,0),MATCH('CompilationCalcs - Di et al.EOL'!$C265,'In-Use Stocks'!$M$80:$V$80,0))</f>
        <v>0.20332849016339483</v>
      </c>
      <c r="G265" t="s">
        <v>191</v>
      </c>
      <c r="H265" s="11">
        <f>IFERROR(INDEX(EndOfLife!$L$64:$P$78,MATCH($A265,EndOfLife!$A$64:$A$78,0),MATCH($G265,EndOfLife!$L$63:$P$63,0))*INDEX(PlasticsUse!$B$27:$L$41,MATCH('CompilationCalcs - Di et al.EOL'!$A265,PlasticsUse!$A$27:$A$41,0),MATCH('CompilationCalcs - Di et al.EOL'!$C265,PlasticsUse!$B$26:$L$26,0)),0)</f>
        <v>1.9786648655829241E-3</v>
      </c>
    </row>
    <row r="266" spans="1:8" x14ac:dyDescent="0.2">
      <c r="A266" t="s">
        <v>25</v>
      </c>
      <c r="B266" t="s">
        <v>206</v>
      </c>
      <c r="C266" t="s">
        <v>69</v>
      </c>
      <c r="D266" s="11">
        <f>INDEX(PlasticsUse!$B$48:$L$64,MATCH('CompilationCalcs - Di et al.EOL'!$A266,PlasticsUse!$A$48:$A$64,0),MATCH('CompilationCalcs - Di et al.EOL'!$C266,PlasticsUse!$B$47:$L$47,0))</f>
        <v>0.20617443319212375</v>
      </c>
      <c r="E266" s="11" t="str">
        <f>IF('CompilationCalcs - Di et al.EOL'!C266=PlasticsUse!$D$93,Conversions!$A$17,IF('CompilationCalcs - Di et al.EOL'!C266=PlasticsUse!$L$93,Conversions!$A$18,Conversions!$A$16))</f>
        <v>Automotive Shredding Facility</v>
      </c>
      <c r="F266" s="11">
        <f>INDEX('In-Use Stocks'!$M$81:$V$97,MATCH('CompilationCalcs - Di et al.EOL'!$A266,'In-Use Stocks'!$L$81:$L$97,0),MATCH('CompilationCalcs - Di et al.EOL'!$C266,'In-Use Stocks'!$M$80:$V$80,0))</f>
        <v>0.22047927593266414</v>
      </c>
      <c r="G266" t="s">
        <v>191</v>
      </c>
      <c r="H266" s="11">
        <f>IFERROR(INDEX(EndOfLife!$L$64:$P$78,MATCH($A266,EndOfLife!$A$64:$A$78,0),MATCH($G266,EndOfLife!$L$63:$P$63,0))*INDEX(PlasticsUse!$B$27:$L$41,MATCH('CompilationCalcs - Di et al.EOL'!$A266,PlasticsUse!$A$27:$A$41,0),MATCH('CompilationCalcs - Di et al.EOL'!$C266,PlasticsUse!$B$26:$L$26,0)),0)</f>
        <v>1.9786648655829241E-3</v>
      </c>
    </row>
    <row r="267" spans="1:8" x14ac:dyDescent="0.2">
      <c r="A267" t="s">
        <v>25</v>
      </c>
      <c r="B267" t="s">
        <v>206</v>
      </c>
      <c r="C267" t="s">
        <v>100</v>
      </c>
      <c r="D267" s="11">
        <f>INDEX(PlasticsUse!$B$48:$L$64,MATCH('CompilationCalcs - Di et al.EOL'!$A267,PlasticsUse!$A$48:$A$64,0),MATCH('CompilationCalcs - Di et al.EOL'!$C267,PlasticsUse!$B$47:$L$47,0))</f>
        <v>0.20617443319212375</v>
      </c>
      <c r="E267" s="11" t="str">
        <f>IF('CompilationCalcs - Di et al.EOL'!C267=PlasticsUse!$D$93,Conversions!$A$17,IF('CompilationCalcs - Di et al.EOL'!C267=PlasticsUse!$L$93,Conversions!$A$18,Conversions!$A$16))</f>
        <v>Transfer Station</v>
      </c>
      <c r="F267" s="11">
        <f>INDEX('In-Use Stocks'!$M$81:$V$97,MATCH('CompilationCalcs - Di et al.EOL'!$A267,'In-Use Stocks'!$L$81:$L$97,0),MATCH('CompilationCalcs - Di et al.EOL'!$C267,'In-Use Stocks'!$M$80:$V$80,0))</f>
        <v>0.16186203075830063</v>
      </c>
      <c r="G267" t="s">
        <v>191</v>
      </c>
      <c r="H267" s="11">
        <f>IFERROR(INDEX(EndOfLife!$L$64:$P$78,MATCH($A267,EndOfLife!$A$64:$A$78,0),MATCH($G267,EndOfLife!$L$63:$P$63,0))*INDEX(PlasticsUse!$B$27:$L$41,MATCH('CompilationCalcs - Di et al.EOL'!$A267,PlasticsUse!$A$27:$A$41,0),MATCH('CompilationCalcs - Di et al.EOL'!$C267,PlasticsUse!$B$26:$L$26,0)),0)</f>
        <v>1.9786648655829241E-3</v>
      </c>
    </row>
    <row r="268" spans="1:8" x14ac:dyDescent="0.2">
      <c r="A268" t="s">
        <v>25</v>
      </c>
      <c r="B268" t="s">
        <v>206</v>
      </c>
      <c r="C268" t="s">
        <v>39</v>
      </c>
      <c r="D268" s="11">
        <f>INDEX(PlasticsUse!$B$48:$L$64,MATCH('CompilationCalcs - Di et al.EOL'!$A268,PlasticsUse!$A$48:$A$64,0),MATCH('CompilationCalcs - Di et al.EOL'!$C268,PlasticsUse!$B$47:$L$47,0))</f>
        <v>0.20617443319212375</v>
      </c>
      <c r="E268" s="11" t="str">
        <f>IF('CompilationCalcs - Di et al.EOL'!C268=PlasticsUse!$D$93,Conversions!$A$17,IF('CompilationCalcs - Di et al.EOL'!C268=PlasticsUse!$L$93,Conversions!$A$18,Conversions!$A$16))</f>
        <v>Transfer Station</v>
      </c>
      <c r="F268" s="11">
        <f>INDEX('In-Use Stocks'!$M$81:$V$97,MATCH('CompilationCalcs - Di et al.EOL'!$A268,'In-Use Stocks'!$L$81:$L$97,0),MATCH('CompilationCalcs - Di et al.EOL'!$C268,'In-Use Stocks'!$M$80:$V$80,0))</f>
        <v>0.25858541304332056</v>
      </c>
      <c r="G268" t="s">
        <v>191</v>
      </c>
      <c r="H268" s="11">
        <f>IFERROR(INDEX(EndOfLife!$L$64:$P$78,MATCH($A268,EndOfLife!$A$64:$A$78,0),MATCH($G268,EndOfLife!$L$63:$P$63,0))*INDEX(PlasticsUse!$B$27:$L$41,MATCH('CompilationCalcs - Di et al.EOL'!$A268,PlasticsUse!$A$27:$A$41,0),MATCH('CompilationCalcs - Di et al.EOL'!$C268,PlasticsUse!$B$26:$L$26,0)),0)</f>
        <v>1.9786648655829241E-3</v>
      </c>
    </row>
    <row r="269" spans="1:8" x14ac:dyDescent="0.2">
      <c r="A269" t="s">
        <v>25</v>
      </c>
      <c r="B269" t="s">
        <v>206</v>
      </c>
      <c r="C269" t="s">
        <v>68</v>
      </c>
      <c r="D269" s="11">
        <f>INDEX(PlasticsUse!$B$48:$L$64,MATCH('CompilationCalcs - Di et al.EOL'!$A269,PlasticsUse!$A$48:$A$64,0),MATCH('CompilationCalcs - Di et al.EOL'!$C269,PlasticsUse!$B$47:$L$47,0))</f>
        <v>0.20617443319212375</v>
      </c>
      <c r="E269" s="11" t="str">
        <f>IF('CompilationCalcs - Di et al.EOL'!C269=PlasticsUse!$D$93,Conversions!$A$17,IF('CompilationCalcs - Di et al.EOL'!C269=PlasticsUse!$L$93,Conversions!$A$18,Conversions!$A$16))</f>
        <v>Transfer Station</v>
      </c>
      <c r="F269" s="11">
        <f>INDEX('In-Use Stocks'!$M$81:$V$97,MATCH('CompilationCalcs - Di et al.EOL'!$A269,'In-Use Stocks'!$L$81:$L$97,0),MATCH('CompilationCalcs - Di et al.EOL'!$C269,'In-Use Stocks'!$M$80:$V$80,0))</f>
        <v>0.22974208925434286</v>
      </c>
      <c r="G269" t="s">
        <v>333</v>
      </c>
      <c r="H269" s="11">
        <f>IFERROR(INDEX(EndOfLife!$L$64:$P$78,MATCH($A269,EndOfLife!$A$64:$A$78,0),MATCH($G269,EndOfLife!$L$63:$P$63,0))*INDEX(PlasticsUse!$B$27:$L$41,MATCH('CompilationCalcs - Di et al.EOL'!$A269,PlasticsUse!$A$27:$A$41,0),MATCH('CompilationCalcs - Di et al.EOL'!$C269,PlasticsUse!$B$26:$L$26,0)),0)</f>
        <v>5.5093822218039365E-3</v>
      </c>
    </row>
    <row r="270" spans="1:8" x14ac:dyDescent="0.2">
      <c r="A270" t="s">
        <v>25</v>
      </c>
      <c r="B270" t="s">
        <v>206</v>
      </c>
      <c r="C270" t="s">
        <v>63</v>
      </c>
      <c r="D270" s="11">
        <f>INDEX(PlasticsUse!$B$48:$L$64,MATCH('CompilationCalcs - Di et al.EOL'!$A270,PlasticsUse!$A$48:$A$64,0),MATCH('CompilationCalcs - Di et al.EOL'!$C270,PlasticsUse!$B$47:$L$47,0))</f>
        <v>0.20617443319212375</v>
      </c>
      <c r="E270" s="11" t="str">
        <f>IF('CompilationCalcs - Di et al.EOL'!C270=PlasticsUse!$D$93,Conversions!$A$17,IF('CompilationCalcs - Di et al.EOL'!C270=PlasticsUse!$L$93,Conversions!$A$18,Conversions!$A$16))</f>
        <v>Transfer Station</v>
      </c>
      <c r="F270" s="11">
        <f>INDEX('In-Use Stocks'!$M$81:$V$97,MATCH('CompilationCalcs - Di et al.EOL'!$A270,'In-Use Stocks'!$L$81:$L$97,0),MATCH('CompilationCalcs - Di et al.EOL'!$C270,'In-Use Stocks'!$M$80:$V$80,0))</f>
        <v>0.21023315185128602</v>
      </c>
      <c r="G270" t="s">
        <v>191</v>
      </c>
      <c r="H270" s="11">
        <f>IFERROR(INDEX(EndOfLife!$L$64:$P$78,MATCH($A270,EndOfLife!$A$64:$A$78,0),MATCH($G270,EndOfLife!$L$63:$P$63,0))*INDEX(PlasticsUse!$B$27:$L$41,MATCH('CompilationCalcs - Di et al.EOL'!$A270,PlasticsUse!$A$27:$A$41,0),MATCH('CompilationCalcs - Di et al.EOL'!$C270,PlasticsUse!$B$26:$L$26,0)),0)</f>
        <v>1.9786648655829241E-3</v>
      </c>
    </row>
    <row r="271" spans="1:8" x14ac:dyDescent="0.2">
      <c r="A271" t="s">
        <v>25</v>
      </c>
      <c r="B271" t="s">
        <v>206</v>
      </c>
      <c r="C271" t="s">
        <v>92</v>
      </c>
      <c r="D271" s="11">
        <f>INDEX(PlasticsUse!$B$48:$L$64,MATCH('CompilationCalcs - Di et al.EOL'!$A271,PlasticsUse!$A$48:$A$64,0),MATCH('CompilationCalcs - Di et al.EOL'!$C271,PlasticsUse!$B$47:$L$47,0))</f>
        <v>0.20617443319212375</v>
      </c>
      <c r="E271" s="11" t="str">
        <f>IF('CompilationCalcs - Di et al.EOL'!C271=PlasticsUse!$D$93,Conversions!$A$17,IF('CompilationCalcs - Di et al.EOL'!C271=PlasticsUse!$L$93,Conversions!$A$18,Conversions!$A$16))</f>
        <v>Transfer Station</v>
      </c>
      <c r="F271" s="11">
        <f>INDEX('In-Use Stocks'!$M$81:$V$97,MATCH('CompilationCalcs - Di et al.EOL'!$A271,'In-Use Stocks'!$L$81:$L$97,0),MATCH('CompilationCalcs - Di et al.EOL'!$C271,'In-Use Stocks'!$M$80:$V$80,0))</f>
        <v>0.18189370821231832</v>
      </c>
      <c r="G271" t="s">
        <v>191</v>
      </c>
      <c r="H271" s="11">
        <f>IFERROR(INDEX(EndOfLife!$L$64:$P$78,MATCH($A271,EndOfLife!$A$64:$A$78,0),MATCH($G271,EndOfLife!$L$63:$P$63,0))*INDEX(PlasticsUse!$B$27:$L$41,MATCH('CompilationCalcs - Di et al.EOL'!$A271,PlasticsUse!$A$27:$A$41,0),MATCH('CompilationCalcs - Di et al.EOL'!$C271,PlasticsUse!$B$26:$L$26,0)),0)</f>
        <v>1.9786648655829241E-3</v>
      </c>
    </row>
    <row r="272" spans="1:8" x14ac:dyDescent="0.2">
      <c r="A272" t="s">
        <v>25</v>
      </c>
      <c r="B272" t="s">
        <v>206</v>
      </c>
      <c r="C272" t="s">
        <v>103</v>
      </c>
      <c r="D272" s="11">
        <f>INDEX(PlasticsUse!$B$48:$L$64,MATCH('CompilationCalcs - Di et al.EOL'!$A272,PlasticsUse!$A$48:$A$64,0),MATCH('CompilationCalcs - Di et al.EOL'!$C272,PlasticsUse!$B$47:$L$47,0))</f>
        <v>0</v>
      </c>
      <c r="E272" s="11" t="str">
        <f>IF('CompilationCalcs - Di et al.EOL'!C272=PlasticsUse!$D$93,Conversions!$A$17,IF('CompilationCalcs - Di et al.EOL'!C272=PlasticsUse!$L$93,Conversions!$A$18,Conversions!$A$16))</f>
        <v>Transfer Station</v>
      </c>
      <c r="F272" s="11">
        <f>INDEX('In-Use Stocks'!$M$81:$V$97,MATCH('CompilationCalcs - Di et al.EOL'!$A272,'In-Use Stocks'!$L$81:$L$97,0),MATCH('CompilationCalcs - Di et al.EOL'!$C272,'In-Use Stocks'!$M$80:$V$80,0))</f>
        <v>0</v>
      </c>
      <c r="G272" t="s">
        <v>191</v>
      </c>
      <c r="H272" s="11">
        <f>IFERROR(INDEX(EndOfLife!$L$64:$P$78,MATCH($A272,EndOfLife!$A$64:$A$78,0),MATCH($G272,EndOfLife!$L$63:$P$63,0))*INDEX(PlasticsUse!$B$27:$L$41,MATCH('CompilationCalcs - Di et al.EOL'!$A272,PlasticsUse!$A$27:$A$41,0),MATCH('CompilationCalcs - Di et al.EOL'!$C272,PlasticsUse!$B$26:$L$26,0)),0)</f>
        <v>0</v>
      </c>
    </row>
    <row r="273" spans="1:8" x14ac:dyDescent="0.2">
      <c r="A273" t="s">
        <v>25</v>
      </c>
      <c r="B273" t="s">
        <v>206</v>
      </c>
      <c r="C273" t="s">
        <v>86</v>
      </c>
      <c r="D273" s="11">
        <f>INDEX(PlasticsUse!$B$48:$L$64,MATCH('CompilationCalcs - Di et al.EOL'!$A273,PlasticsUse!$A$48:$A$64,0),MATCH('CompilationCalcs - Di et al.EOL'!$C273,PlasticsUse!$B$47:$L$47,0))</f>
        <v>0.20617443319212375</v>
      </c>
      <c r="E273" s="11" t="str">
        <f>IF('CompilationCalcs - Di et al.EOL'!C273=PlasticsUse!$D$93,Conversions!$A$17,IF('CompilationCalcs - Di et al.EOL'!C273=PlasticsUse!$L$93,Conversions!$A$18,Conversions!$A$16))</f>
        <v>Transfer Station</v>
      </c>
      <c r="F273" s="11">
        <f>INDEX('In-Use Stocks'!$M$81:$V$97,MATCH('CompilationCalcs - Di et al.EOL'!$A273,'In-Use Stocks'!$L$81:$L$97,0),MATCH('CompilationCalcs - Di et al.EOL'!$C273,'In-Use Stocks'!$M$80:$V$80,0))</f>
        <v>0.18189370821231832</v>
      </c>
      <c r="G273" t="s">
        <v>191</v>
      </c>
      <c r="H273" s="11">
        <f>IFERROR(INDEX(EndOfLife!$L$64:$P$78,MATCH($A273,EndOfLife!$A$64:$A$78,0),MATCH($G273,EndOfLife!$L$63:$P$63,0))*INDEX(PlasticsUse!$B$27:$L$41,MATCH('CompilationCalcs - Di et al.EOL'!$A273,PlasticsUse!$A$27:$A$41,0),MATCH('CompilationCalcs - Di et al.EOL'!$C273,PlasticsUse!$B$26:$L$26,0)),0)</f>
        <v>1.9786648655829241E-3</v>
      </c>
    </row>
    <row r="274" spans="1:8" x14ac:dyDescent="0.2">
      <c r="A274" t="s">
        <v>25</v>
      </c>
      <c r="B274" t="s">
        <v>206</v>
      </c>
      <c r="C274" t="s">
        <v>18</v>
      </c>
      <c r="D274" s="11">
        <f>INDEX(PlasticsUse!$B$48:$L$64,MATCH('CompilationCalcs - Di et al.EOL'!$A274,PlasticsUse!$A$48:$A$64,0),MATCH('CompilationCalcs - Di et al.EOL'!$C274,PlasticsUse!$B$47:$L$47,0))</f>
        <v>0.20617443319212375</v>
      </c>
      <c r="E274" s="11" t="str">
        <f>IF('CompilationCalcs - Di et al.EOL'!C274=PlasticsUse!$D$93,Conversions!$A$17,IF('CompilationCalcs - Di et al.EOL'!C274=PlasticsUse!$L$93,Conversions!$A$18,Conversions!$A$16))</f>
        <v>N/A</v>
      </c>
      <c r="F274" s="11">
        <v>0</v>
      </c>
      <c r="G274" t="s">
        <v>287</v>
      </c>
      <c r="H274" s="11">
        <f>IFERROR(INDEX(EndOfLife!$L$64:$P$78,MATCH($A274,EndOfLife!$A$64:$A$78,0),MATCH($G274,EndOfLife!$L$63:$P$63,0))*INDEX(PlasticsUse!$B$27:$L$41,MATCH('CompilationCalcs - Di et al.EOL'!$A274,PlasticsUse!$A$27:$A$41,0),MATCH('CompilationCalcs - Di et al.EOL'!$C274,PlasticsUse!$B$26:$L$26,0)),0)</f>
        <v>0</v>
      </c>
    </row>
    <row r="275" spans="1:8" x14ac:dyDescent="0.2">
      <c r="A275" t="s">
        <v>25</v>
      </c>
      <c r="B275" t="s">
        <v>207</v>
      </c>
      <c r="C275" t="s">
        <v>38</v>
      </c>
      <c r="D275" s="11"/>
      <c r="E275" s="11" t="str">
        <f>IF('CompilationCalcs - Di et al.EOL'!C275=PlasticsUse!$D$93,Conversions!$A$17,IF('CompilationCalcs - Di et al.EOL'!C275=PlasticsUse!$L$93,Conversions!$A$18,Conversions!$A$16))</f>
        <v>Transfer Station</v>
      </c>
      <c r="F275" s="11">
        <f t="shared" si="4"/>
        <v>0</v>
      </c>
      <c r="G275" t="s">
        <v>5</v>
      </c>
      <c r="H275" s="11">
        <f>IFERROR(INDEX(EndOfLife!$L$64:$P$78,MATCH($A275,EndOfLife!$A$64:$A$78,0),MATCH($G275,EndOfLife!$L$63:$P$63,0))*INDEX(PlasticsUse!$B$27:$L$41,MATCH('CompilationCalcs - Di et al.EOL'!$A275,PlasticsUse!$A$27:$A$41,0),MATCH('CompilationCalcs - Di et al.EOL'!$C275,PlasticsUse!$B$26:$L$26,0)),0)</f>
        <v>2.6968469279056152E-2</v>
      </c>
    </row>
    <row r="276" spans="1:8" x14ac:dyDescent="0.2">
      <c r="A276" t="s">
        <v>25</v>
      </c>
      <c r="B276" t="s">
        <v>207</v>
      </c>
      <c r="C276" t="s">
        <v>99</v>
      </c>
      <c r="D276" s="11"/>
      <c r="E276" s="11" t="str">
        <f>IF('CompilationCalcs - Di et al.EOL'!C276=PlasticsUse!$D$93,Conversions!$A$17,IF('CompilationCalcs - Di et al.EOL'!C276=PlasticsUse!$L$93,Conversions!$A$18,Conversions!$A$16))</f>
        <v>Transfer Station</v>
      </c>
      <c r="F276" s="11">
        <f t="shared" si="4"/>
        <v>0</v>
      </c>
      <c r="G276" t="s">
        <v>5</v>
      </c>
      <c r="H276" s="11">
        <f>IFERROR(INDEX(EndOfLife!$L$64:$P$78,MATCH($A276,EndOfLife!$A$64:$A$78,0),MATCH($G276,EndOfLife!$L$63:$P$63,0))*INDEX(PlasticsUse!$B$27:$L$41,MATCH('CompilationCalcs - Di et al.EOL'!$A276,PlasticsUse!$A$27:$A$41,0),MATCH('CompilationCalcs - Di et al.EOL'!$C276,PlasticsUse!$B$26:$L$26,0)),0)</f>
        <v>2.6968469279056152E-2</v>
      </c>
    </row>
    <row r="277" spans="1:8" x14ac:dyDescent="0.2">
      <c r="A277" t="s">
        <v>25</v>
      </c>
      <c r="B277" t="s">
        <v>207</v>
      </c>
      <c r="C277" t="s">
        <v>69</v>
      </c>
      <c r="D277" s="11"/>
      <c r="E277" s="11" t="str">
        <f>IF('CompilationCalcs - Di et al.EOL'!C277=PlasticsUse!$D$93,Conversions!$A$17,IF('CompilationCalcs - Di et al.EOL'!C277=PlasticsUse!$L$93,Conversions!$A$18,Conversions!$A$16))</f>
        <v>Automotive Shredding Facility</v>
      </c>
      <c r="F277" s="11">
        <f t="shared" si="4"/>
        <v>0</v>
      </c>
      <c r="G277" t="s">
        <v>5</v>
      </c>
      <c r="H277" s="11">
        <f>IFERROR(INDEX(EndOfLife!$L$64:$P$78,MATCH($A277,EndOfLife!$A$64:$A$78,0),MATCH($G277,EndOfLife!$L$63:$P$63,0))*INDEX(PlasticsUse!$B$27:$L$41,MATCH('CompilationCalcs - Di et al.EOL'!$A277,PlasticsUse!$A$27:$A$41,0),MATCH('CompilationCalcs - Di et al.EOL'!$C277,PlasticsUse!$B$26:$L$26,0)),0)</f>
        <v>2.6968469279056152E-2</v>
      </c>
    </row>
    <row r="278" spans="1:8" x14ac:dyDescent="0.2">
      <c r="A278" t="s">
        <v>25</v>
      </c>
      <c r="B278" t="s">
        <v>207</v>
      </c>
      <c r="C278" t="s">
        <v>100</v>
      </c>
      <c r="D278" s="11"/>
      <c r="E278" s="11" t="str">
        <f>IF('CompilationCalcs - Di et al.EOL'!C278=PlasticsUse!$D$93,Conversions!$A$17,IF('CompilationCalcs - Di et al.EOL'!C278=PlasticsUse!$L$93,Conversions!$A$18,Conversions!$A$16))</f>
        <v>Transfer Station</v>
      </c>
      <c r="F278" s="11">
        <f t="shared" si="4"/>
        <v>0</v>
      </c>
      <c r="G278" t="s">
        <v>5</v>
      </c>
      <c r="H278" s="11">
        <f>IFERROR(INDEX(EndOfLife!$L$64:$P$78,MATCH($A278,EndOfLife!$A$64:$A$78,0),MATCH($G278,EndOfLife!$L$63:$P$63,0))*INDEX(PlasticsUse!$B$27:$L$41,MATCH('CompilationCalcs - Di et al.EOL'!$A278,PlasticsUse!$A$27:$A$41,0),MATCH('CompilationCalcs - Di et al.EOL'!$C278,PlasticsUse!$B$26:$L$26,0)),0)</f>
        <v>2.6968469279056152E-2</v>
      </c>
    </row>
    <row r="279" spans="1:8" x14ac:dyDescent="0.2">
      <c r="A279" t="s">
        <v>25</v>
      </c>
      <c r="B279" t="s">
        <v>207</v>
      </c>
      <c r="C279" t="s">
        <v>39</v>
      </c>
      <c r="D279" s="11"/>
      <c r="E279" s="11" t="str">
        <f>IF('CompilationCalcs - Di et al.EOL'!C279=PlasticsUse!$D$93,Conversions!$A$17,IF('CompilationCalcs - Di et al.EOL'!C279=PlasticsUse!$L$93,Conversions!$A$18,Conversions!$A$16))</f>
        <v>Transfer Station</v>
      </c>
      <c r="F279" s="11">
        <f t="shared" ref="F279:F346" si="5">D279</f>
        <v>0</v>
      </c>
      <c r="G279" t="s">
        <v>5</v>
      </c>
      <c r="H279" s="11">
        <f>IFERROR(INDEX(EndOfLife!$L$64:$P$78,MATCH($A279,EndOfLife!$A$64:$A$78,0),MATCH($G279,EndOfLife!$L$63:$P$63,0))*INDEX(PlasticsUse!$B$27:$L$41,MATCH('CompilationCalcs - Di et al.EOL'!$A279,PlasticsUse!$A$27:$A$41,0),MATCH('CompilationCalcs - Di et al.EOL'!$C279,PlasticsUse!$B$26:$L$26,0)),0)</f>
        <v>2.6968469279056152E-2</v>
      </c>
    </row>
    <row r="280" spans="1:8" x14ac:dyDescent="0.2">
      <c r="A280" t="s">
        <v>25</v>
      </c>
      <c r="B280" t="s">
        <v>207</v>
      </c>
      <c r="C280" t="s">
        <v>63</v>
      </c>
      <c r="D280" s="11"/>
      <c r="E280" s="11" t="str">
        <f>IF('CompilationCalcs - Di et al.EOL'!C280=PlasticsUse!$D$93,Conversions!$A$17,IF('CompilationCalcs - Di et al.EOL'!C280=PlasticsUse!$L$93,Conversions!$A$18,Conversions!$A$16))</f>
        <v>Transfer Station</v>
      </c>
      <c r="F280" s="11">
        <f t="shared" si="5"/>
        <v>0</v>
      </c>
      <c r="G280" t="s">
        <v>5</v>
      </c>
      <c r="H280" s="11">
        <f>IFERROR(INDEX(EndOfLife!$L$64:$P$78,MATCH($A280,EndOfLife!$A$64:$A$78,0),MATCH($G280,EndOfLife!$L$63:$P$63,0))*INDEX(PlasticsUse!$B$27:$L$41,MATCH('CompilationCalcs - Di et al.EOL'!$A280,PlasticsUse!$A$27:$A$41,0),MATCH('CompilationCalcs - Di et al.EOL'!$C280,PlasticsUse!$B$26:$L$26,0)),0)</f>
        <v>2.6968469279056152E-2</v>
      </c>
    </row>
    <row r="281" spans="1:8" x14ac:dyDescent="0.2">
      <c r="A281" t="s">
        <v>25</v>
      </c>
      <c r="B281" t="s">
        <v>207</v>
      </c>
      <c r="C281" t="s">
        <v>92</v>
      </c>
      <c r="D281" s="11"/>
      <c r="E281" s="11" t="str">
        <f>IF('CompilationCalcs - Di et al.EOL'!C281=PlasticsUse!$D$93,Conversions!$A$17,IF('CompilationCalcs - Di et al.EOL'!C281=PlasticsUse!$L$93,Conversions!$A$18,Conversions!$A$16))</f>
        <v>Transfer Station</v>
      </c>
      <c r="F281" s="11">
        <f t="shared" si="5"/>
        <v>0</v>
      </c>
      <c r="G281" t="s">
        <v>5</v>
      </c>
      <c r="H281" s="11">
        <f>IFERROR(INDEX(EndOfLife!$L$64:$P$78,MATCH($A281,EndOfLife!$A$64:$A$78,0),MATCH($G281,EndOfLife!$L$63:$P$63,0))*INDEX(PlasticsUse!$B$27:$L$41,MATCH('CompilationCalcs - Di et al.EOL'!$A281,PlasticsUse!$A$27:$A$41,0),MATCH('CompilationCalcs - Di et al.EOL'!$C281,PlasticsUse!$B$26:$L$26,0)),0)</f>
        <v>2.6968469279056152E-2</v>
      </c>
    </row>
    <row r="282" spans="1:8" x14ac:dyDescent="0.2">
      <c r="A282" t="s">
        <v>25</v>
      </c>
      <c r="B282" t="s">
        <v>207</v>
      </c>
      <c r="C282" t="s">
        <v>103</v>
      </c>
      <c r="D282" s="11"/>
      <c r="E282" s="11" t="str">
        <f>IF('CompilationCalcs - Di et al.EOL'!C282=PlasticsUse!$D$93,Conversions!$A$17,IF('CompilationCalcs - Di et al.EOL'!C282=PlasticsUse!$L$93,Conversions!$A$18,Conversions!$A$16))</f>
        <v>Transfer Station</v>
      </c>
      <c r="F282" s="11">
        <f t="shared" si="5"/>
        <v>0</v>
      </c>
      <c r="G282" t="s">
        <v>5</v>
      </c>
      <c r="H282" s="11">
        <f>IFERROR(INDEX(EndOfLife!$L$64:$P$78,MATCH($A282,EndOfLife!$A$64:$A$78,0),MATCH($G282,EndOfLife!$L$63:$P$63,0))*INDEX(PlasticsUse!$B$27:$L$41,MATCH('CompilationCalcs - Di et al.EOL'!$A282,PlasticsUse!$A$27:$A$41,0),MATCH('CompilationCalcs - Di et al.EOL'!$C282,PlasticsUse!$B$26:$L$26,0)),0)</f>
        <v>0</v>
      </c>
    </row>
    <row r="283" spans="1:8" x14ac:dyDescent="0.2">
      <c r="A283" t="s">
        <v>25</v>
      </c>
      <c r="B283" t="s">
        <v>207</v>
      </c>
      <c r="C283" t="s">
        <v>86</v>
      </c>
      <c r="D283" s="11"/>
      <c r="E283" s="11" t="str">
        <f>IF('CompilationCalcs - Di et al.EOL'!C283=PlasticsUse!$D$93,Conversions!$A$17,IF('CompilationCalcs - Di et al.EOL'!C283=PlasticsUse!$L$93,Conversions!$A$18,Conversions!$A$16))</f>
        <v>Transfer Station</v>
      </c>
      <c r="F283" s="11">
        <f t="shared" si="5"/>
        <v>0</v>
      </c>
      <c r="G283" t="s">
        <v>5</v>
      </c>
      <c r="H283" s="11">
        <f>IFERROR(INDEX(EndOfLife!$L$64:$P$78,MATCH($A283,EndOfLife!$A$64:$A$78,0),MATCH($G283,EndOfLife!$L$63:$P$63,0))*INDEX(PlasticsUse!$B$27:$L$41,MATCH('CompilationCalcs - Di et al.EOL'!$A283,PlasticsUse!$A$27:$A$41,0),MATCH('CompilationCalcs - Di et al.EOL'!$C283,PlasticsUse!$B$26:$L$26,0)),0)</f>
        <v>2.6968469279056152E-2</v>
      </c>
    </row>
    <row r="284" spans="1:8" x14ac:dyDescent="0.2">
      <c r="A284" t="s">
        <v>25</v>
      </c>
      <c r="B284" t="s">
        <v>207</v>
      </c>
      <c r="C284" t="s">
        <v>18</v>
      </c>
      <c r="D284" s="11"/>
      <c r="E284" s="11" t="str">
        <f>IF('CompilationCalcs - Di et al.EOL'!C284=PlasticsUse!$D$93,Conversions!$A$17,IF('CompilationCalcs - Di et al.EOL'!C284=PlasticsUse!$L$93,Conversions!$A$18,Conversions!$A$16))</f>
        <v>N/A</v>
      </c>
      <c r="F284" s="11">
        <f t="shared" si="5"/>
        <v>0</v>
      </c>
      <c r="G284" t="s">
        <v>287</v>
      </c>
      <c r="H284" s="11">
        <f>IFERROR(INDEX(EndOfLife!$L$64:$P$78,MATCH($A284,EndOfLife!$A$64:$A$78,0),MATCH($G284,EndOfLife!$L$63:$P$63,0))*INDEX(PlasticsUse!$B$27:$L$41,MATCH('CompilationCalcs - Di et al.EOL'!$A284,PlasticsUse!$A$27:$A$41,0),MATCH('CompilationCalcs - Di et al.EOL'!$C284,PlasticsUse!$B$26:$L$26,0)),0)</f>
        <v>0</v>
      </c>
    </row>
    <row r="285" spans="1:8" x14ac:dyDescent="0.2">
      <c r="A285" t="s">
        <v>25</v>
      </c>
      <c r="B285" t="s">
        <v>207</v>
      </c>
      <c r="C285" t="s">
        <v>99</v>
      </c>
      <c r="D285" s="11"/>
      <c r="E285" s="11" t="str">
        <f>IF('CompilationCalcs - Di et al.EOL'!C285=PlasticsUse!$D$93,Conversions!$A$17,IF('CompilationCalcs - Di et al.EOL'!C285=PlasticsUse!$L$93,Conversions!$A$18,Conversions!$A$16))</f>
        <v>Transfer Station</v>
      </c>
      <c r="F285" s="11">
        <f t="shared" si="5"/>
        <v>0</v>
      </c>
      <c r="G285" t="s">
        <v>6</v>
      </c>
      <c r="H285" s="11">
        <f>IFERROR(INDEX(EndOfLife!$L$64:$P$78,MATCH($A285,EndOfLife!$A$64:$A$78,0),MATCH($G285,EndOfLife!$L$63:$P$63,0))*INDEX(PlasticsUse!$B$27:$L$41,MATCH('CompilationCalcs - Di et al.EOL'!$A285,PlasticsUse!$A$27:$A$41,0),MATCH('CompilationCalcs - Di et al.EOL'!$C285,PlasticsUse!$B$26:$L$26,0)),0)</f>
        <v>0.12295726627326518</v>
      </c>
    </row>
    <row r="286" spans="1:8" x14ac:dyDescent="0.2">
      <c r="A286" t="s">
        <v>25</v>
      </c>
      <c r="B286" t="s">
        <v>207</v>
      </c>
      <c r="C286" t="s">
        <v>69</v>
      </c>
      <c r="D286" s="11"/>
      <c r="E286" s="11" t="str">
        <f>IF('CompilationCalcs - Di et al.EOL'!C286=PlasticsUse!$D$93,Conversions!$A$17,IF('CompilationCalcs - Di et al.EOL'!C286=PlasticsUse!$L$93,Conversions!$A$18,Conversions!$A$16))</f>
        <v>Automotive Shredding Facility</v>
      </c>
      <c r="F286" s="11">
        <f t="shared" si="5"/>
        <v>0</v>
      </c>
      <c r="G286" t="s">
        <v>6</v>
      </c>
      <c r="H286" s="11">
        <f>IFERROR(INDEX(EndOfLife!$L$64:$P$78,MATCH($A286,EndOfLife!$A$64:$A$78,0),MATCH($G286,EndOfLife!$L$63:$P$63,0))*INDEX(PlasticsUse!$B$27:$L$41,MATCH('CompilationCalcs - Di et al.EOL'!$A286,PlasticsUse!$A$27:$A$41,0),MATCH('CompilationCalcs - Di et al.EOL'!$C286,PlasticsUse!$B$26:$L$26,0)),0)</f>
        <v>0.12295726627326518</v>
      </c>
    </row>
    <row r="287" spans="1:8" x14ac:dyDescent="0.2">
      <c r="A287" t="s">
        <v>25</v>
      </c>
      <c r="B287" t="s">
        <v>207</v>
      </c>
      <c r="C287" t="s">
        <v>100</v>
      </c>
      <c r="D287" s="11"/>
      <c r="E287" s="11" t="str">
        <f>IF('CompilationCalcs - Di et al.EOL'!C287=PlasticsUse!$D$93,Conversions!$A$17,IF('CompilationCalcs - Di et al.EOL'!C287=PlasticsUse!$L$93,Conversions!$A$18,Conversions!$A$16))</f>
        <v>Transfer Station</v>
      </c>
      <c r="F287" s="11">
        <f t="shared" si="5"/>
        <v>0</v>
      </c>
      <c r="G287" t="s">
        <v>6</v>
      </c>
      <c r="H287" s="11">
        <f>IFERROR(INDEX(EndOfLife!$L$64:$P$78,MATCH($A287,EndOfLife!$A$64:$A$78,0),MATCH($G287,EndOfLife!$L$63:$P$63,0))*INDEX(PlasticsUse!$B$27:$L$41,MATCH('CompilationCalcs - Di et al.EOL'!$A287,PlasticsUse!$A$27:$A$41,0),MATCH('CompilationCalcs - Di et al.EOL'!$C287,PlasticsUse!$B$26:$L$26,0)),0)</f>
        <v>0.12295726627326518</v>
      </c>
    </row>
    <row r="288" spans="1:8" x14ac:dyDescent="0.2">
      <c r="A288" t="s">
        <v>25</v>
      </c>
      <c r="B288" t="s">
        <v>207</v>
      </c>
      <c r="C288" t="s">
        <v>39</v>
      </c>
      <c r="D288" s="11"/>
      <c r="E288" s="11" t="str">
        <f>IF('CompilationCalcs - Di et al.EOL'!C288=PlasticsUse!$D$93,Conversions!$A$17,IF('CompilationCalcs - Di et al.EOL'!C288=PlasticsUse!$L$93,Conversions!$A$18,Conversions!$A$16))</f>
        <v>Transfer Station</v>
      </c>
      <c r="F288" s="11">
        <f t="shared" si="5"/>
        <v>0</v>
      </c>
      <c r="G288" t="s">
        <v>6</v>
      </c>
      <c r="H288" s="11">
        <f>IFERROR(INDEX(EndOfLife!$L$64:$P$78,MATCH($A288,EndOfLife!$A$64:$A$78,0),MATCH($G288,EndOfLife!$L$63:$P$63,0))*INDEX(PlasticsUse!$B$27:$L$41,MATCH('CompilationCalcs - Di et al.EOL'!$A288,PlasticsUse!$A$27:$A$41,0),MATCH('CompilationCalcs - Di et al.EOL'!$C288,PlasticsUse!$B$26:$L$26,0)),0)</f>
        <v>0.12295726627326518</v>
      </c>
    </row>
    <row r="289" spans="1:8" x14ac:dyDescent="0.2">
      <c r="A289" t="s">
        <v>25</v>
      </c>
      <c r="B289" t="s">
        <v>207</v>
      </c>
      <c r="C289" t="s">
        <v>68</v>
      </c>
      <c r="D289" s="11"/>
      <c r="E289" s="11" t="str">
        <f>IF('CompilationCalcs - Di et al.EOL'!C289=PlasticsUse!$D$93,Conversions!$A$17,IF('CompilationCalcs - Di et al.EOL'!C289=PlasticsUse!$L$93,Conversions!$A$18,Conversions!$A$16))</f>
        <v>Transfer Station</v>
      </c>
      <c r="F289" s="11">
        <f t="shared" si="5"/>
        <v>0</v>
      </c>
      <c r="G289" t="s">
        <v>6</v>
      </c>
      <c r="H289" s="11">
        <f>IFERROR(INDEX(EndOfLife!$L$64:$P$78,MATCH($A289,EndOfLife!$A$64:$A$78,0),MATCH($G289,EndOfLife!$L$63:$P$63,0))*INDEX(PlasticsUse!$B$27:$L$41,MATCH('CompilationCalcs - Di et al.EOL'!$A289,PlasticsUse!$A$27:$A$41,0),MATCH('CompilationCalcs - Di et al.EOL'!$C289,PlasticsUse!$B$26:$L$26,0)),0)</f>
        <v>0.12295726627326518</v>
      </c>
    </row>
    <row r="290" spans="1:8" x14ac:dyDescent="0.2">
      <c r="A290" t="s">
        <v>25</v>
      </c>
      <c r="B290" t="s">
        <v>207</v>
      </c>
      <c r="C290" t="s">
        <v>63</v>
      </c>
      <c r="D290" s="11"/>
      <c r="E290" s="11" t="str">
        <f>IF('CompilationCalcs - Di et al.EOL'!C290=PlasticsUse!$D$93,Conversions!$A$17,IF('CompilationCalcs - Di et al.EOL'!C290=PlasticsUse!$L$93,Conversions!$A$18,Conversions!$A$16))</f>
        <v>Transfer Station</v>
      </c>
      <c r="F290" s="11">
        <f t="shared" si="5"/>
        <v>0</v>
      </c>
      <c r="G290" t="s">
        <v>6</v>
      </c>
      <c r="H290" s="11">
        <f>IFERROR(INDEX(EndOfLife!$L$64:$P$78,MATCH($A290,EndOfLife!$A$64:$A$78,0),MATCH($G290,EndOfLife!$L$63:$P$63,0))*INDEX(PlasticsUse!$B$27:$L$41,MATCH('CompilationCalcs - Di et al.EOL'!$A290,PlasticsUse!$A$27:$A$41,0),MATCH('CompilationCalcs - Di et al.EOL'!$C290,PlasticsUse!$B$26:$L$26,0)),0)</f>
        <v>0.12295726627326518</v>
      </c>
    </row>
    <row r="291" spans="1:8" x14ac:dyDescent="0.2">
      <c r="A291" t="s">
        <v>25</v>
      </c>
      <c r="B291" t="s">
        <v>207</v>
      </c>
      <c r="C291" t="s">
        <v>92</v>
      </c>
      <c r="D291" s="11"/>
      <c r="E291" s="11" t="str">
        <f>IF('CompilationCalcs - Di et al.EOL'!C291=PlasticsUse!$D$93,Conversions!$A$17,IF('CompilationCalcs - Di et al.EOL'!C291=PlasticsUse!$L$93,Conversions!$A$18,Conversions!$A$16))</f>
        <v>Transfer Station</v>
      </c>
      <c r="F291" s="11">
        <f t="shared" si="5"/>
        <v>0</v>
      </c>
      <c r="G291" t="s">
        <v>6</v>
      </c>
      <c r="H291" s="11">
        <f>IFERROR(INDEX(EndOfLife!$L$64:$P$78,MATCH($A291,EndOfLife!$A$64:$A$78,0),MATCH($G291,EndOfLife!$L$63:$P$63,0))*INDEX(PlasticsUse!$B$27:$L$41,MATCH('CompilationCalcs - Di et al.EOL'!$A291,PlasticsUse!$A$27:$A$41,0),MATCH('CompilationCalcs - Di et al.EOL'!$C291,PlasticsUse!$B$26:$L$26,0)),0)</f>
        <v>0.12295726627326518</v>
      </c>
    </row>
    <row r="292" spans="1:8" x14ac:dyDescent="0.2">
      <c r="A292" t="s">
        <v>25</v>
      </c>
      <c r="B292" t="s">
        <v>207</v>
      </c>
      <c r="C292" t="s">
        <v>103</v>
      </c>
      <c r="D292" s="11"/>
      <c r="E292" s="11" t="str">
        <f>IF('CompilationCalcs - Di et al.EOL'!C292=PlasticsUse!$D$93,Conversions!$A$17,IF('CompilationCalcs - Di et al.EOL'!C292=PlasticsUse!$L$93,Conversions!$A$18,Conversions!$A$16))</f>
        <v>Transfer Station</v>
      </c>
      <c r="F292" s="11">
        <f t="shared" si="5"/>
        <v>0</v>
      </c>
      <c r="G292" t="s">
        <v>6</v>
      </c>
      <c r="H292" s="11">
        <f>IFERROR(INDEX(EndOfLife!$L$64:$P$78,MATCH($A292,EndOfLife!$A$64:$A$78,0),MATCH($G292,EndOfLife!$L$63:$P$63,0))*INDEX(PlasticsUse!$B$27:$L$41,MATCH('CompilationCalcs - Di et al.EOL'!$A292,PlasticsUse!$A$27:$A$41,0),MATCH('CompilationCalcs - Di et al.EOL'!$C292,PlasticsUse!$B$26:$L$26,0)),0)</f>
        <v>0</v>
      </c>
    </row>
    <row r="293" spans="1:8" x14ac:dyDescent="0.2">
      <c r="A293" t="s">
        <v>25</v>
      </c>
      <c r="B293" t="s">
        <v>207</v>
      </c>
      <c r="C293" t="s">
        <v>86</v>
      </c>
      <c r="D293" s="11"/>
      <c r="E293" s="11" t="str">
        <f>IF('CompilationCalcs - Di et al.EOL'!C293=PlasticsUse!$D$93,Conversions!$A$17,IF('CompilationCalcs - Di et al.EOL'!C293=PlasticsUse!$L$93,Conversions!$A$18,Conversions!$A$16))</f>
        <v>Transfer Station</v>
      </c>
      <c r="F293" s="11">
        <f t="shared" si="5"/>
        <v>0</v>
      </c>
      <c r="G293" t="s">
        <v>6</v>
      </c>
      <c r="H293" s="11">
        <f>IFERROR(INDEX(EndOfLife!$L$64:$P$78,MATCH($A293,EndOfLife!$A$64:$A$78,0),MATCH($G293,EndOfLife!$L$63:$P$63,0))*INDEX(PlasticsUse!$B$27:$L$41,MATCH('CompilationCalcs - Di et al.EOL'!$A293,PlasticsUse!$A$27:$A$41,0),MATCH('CompilationCalcs - Di et al.EOL'!$C293,PlasticsUse!$B$26:$L$26,0)),0)</f>
        <v>0.12295726627326518</v>
      </c>
    </row>
    <row r="294" spans="1:8" x14ac:dyDescent="0.2">
      <c r="A294" t="s">
        <v>25</v>
      </c>
      <c r="B294" t="s">
        <v>207</v>
      </c>
      <c r="C294" t="s">
        <v>18</v>
      </c>
      <c r="D294" s="11"/>
      <c r="E294" s="11" t="str">
        <f>IF('CompilationCalcs - Di et al.EOL'!C294=PlasticsUse!$D$93,Conversions!$A$17,IF('CompilationCalcs - Di et al.EOL'!C294=PlasticsUse!$L$93,Conversions!$A$18,Conversions!$A$16))</f>
        <v>N/A</v>
      </c>
      <c r="F294" s="11">
        <f t="shared" si="5"/>
        <v>0</v>
      </c>
      <c r="G294" t="s">
        <v>287</v>
      </c>
      <c r="H294" s="11">
        <f>IFERROR(INDEX(EndOfLife!$L$64:$P$78,MATCH($A294,EndOfLife!$A$64:$A$78,0),MATCH($G294,EndOfLife!$L$63:$P$63,0))*INDEX(PlasticsUse!$B$27:$L$41,MATCH('CompilationCalcs - Di et al.EOL'!$A294,PlasticsUse!$A$27:$A$41,0),MATCH('CompilationCalcs - Di et al.EOL'!$C294,PlasticsUse!$B$26:$L$26,0)),0)</f>
        <v>0</v>
      </c>
    </row>
    <row r="295" spans="1:8" ht="17" x14ac:dyDescent="0.2">
      <c r="A295" t="s">
        <v>25</v>
      </c>
      <c r="B295" t="s">
        <v>207</v>
      </c>
      <c r="E295" s="11" t="s">
        <v>191</v>
      </c>
      <c r="F295" s="11">
        <f t="shared" si="5"/>
        <v>0</v>
      </c>
      <c r="G295" s="28" t="s">
        <v>360</v>
      </c>
      <c r="H295" s="11">
        <f>INDEX(EndOfLife!$T$64:$X$78,MATCH('CompilationCalcs - Di et al.EOL'!$A295,EndOfLife!$S$64:$S$78,0),MATCH('CompilationCalcs - Di et al.EOL'!$G295,EndOfLife!$T$63:$X$63,0))</f>
        <v>1.8541159735217094E-2</v>
      </c>
    </row>
    <row r="296" spans="1:8" ht="17" x14ac:dyDescent="0.2">
      <c r="A296" t="s">
        <v>25</v>
      </c>
      <c r="B296" t="s">
        <v>207</v>
      </c>
      <c r="E296" s="11" t="s">
        <v>191</v>
      </c>
      <c r="F296" s="11">
        <f t="shared" si="5"/>
        <v>0</v>
      </c>
      <c r="G296" s="28" t="s">
        <v>361</v>
      </c>
      <c r="H296" s="11">
        <f>INDEX(EndOfLife!$T$64:$X$78,MATCH('CompilationCalcs - Di et al.EOL'!$A296,EndOfLife!$S$64:$S$78,0),MATCH('CompilationCalcs - Di et al.EOL'!$G296,EndOfLife!$T$63:$X$63,0))</f>
        <v>3.2245495191681904E-3</v>
      </c>
    </row>
    <row r="297" spans="1:8" ht="17" x14ac:dyDescent="0.2">
      <c r="A297" t="s">
        <v>25</v>
      </c>
      <c r="B297" t="s">
        <v>207</v>
      </c>
      <c r="E297" s="11" t="s">
        <v>360</v>
      </c>
      <c r="F297" s="11">
        <f t="shared" si="5"/>
        <v>0</v>
      </c>
      <c r="G297" s="28" t="s">
        <v>192</v>
      </c>
      <c r="H297" s="11">
        <f>INDEX(EndOfLife!$T$64:$X$78,MATCH('CompilationCalcs - Di et al.EOL'!$A297,EndOfLife!$S$64:$S$78,0),MATCH('CompilationCalcs - Di et al.EOL'!$G297,EndOfLife!$T$63:$X$63,0))</f>
        <v>1.8541159735217094E-2</v>
      </c>
    </row>
    <row r="298" spans="1:8" ht="17" x14ac:dyDescent="0.2">
      <c r="A298" t="s">
        <v>25</v>
      </c>
      <c r="B298" t="s">
        <v>207</v>
      </c>
      <c r="E298" s="11" t="s">
        <v>191</v>
      </c>
      <c r="F298" s="11">
        <f t="shared" si="5"/>
        <v>0</v>
      </c>
      <c r="G298" s="28" t="s">
        <v>193</v>
      </c>
      <c r="H298" s="11">
        <f>INDEX(EndOfLife!$T$64:$X$78,MATCH('CompilationCalcs - Di et al.EOL'!$A298,EndOfLife!$S$64:$S$78,0),MATCH('CompilationCalcs - Di et al.EOL'!$G298,EndOfLife!$T$63:$X$63,0))</f>
        <v>0</v>
      </c>
    </row>
    <row r="299" spans="1:8" x14ac:dyDescent="0.2">
      <c r="A299" t="s">
        <v>7</v>
      </c>
      <c r="B299" t="s">
        <v>206</v>
      </c>
      <c r="C299" t="s">
        <v>38</v>
      </c>
      <c r="D299" s="11">
        <f>INDEX(PlasticsUse!$B$48:$L$64,MATCH('CompilationCalcs - Di et al.EOL'!$A299,PlasticsUse!$A$48:$A$64,0),MATCH('CompilationCalcs - Di et al.EOL'!$C299,PlasticsUse!$B$47:$L$47,0))</f>
        <v>0.20617443319212375</v>
      </c>
      <c r="E299" s="11" t="str">
        <f>IF('CompilationCalcs - Di et al.EOL'!C299=PlasticsUse!$D$93,Conversions!$A$17,IF('CompilationCalcs - Di et al.EOL'!C299=PlasticsUse!$L$93,Conversions!$A$18,Conversions!$A$16))</f>
        <v>Transfer Station</v>
      </c>
      <c r="F299" s="11">
        <f>INDEX('In-Use Stocks'!$M$81:$V$97,MATCH('CompilationCalcs - Di et al.EOL'!$A299,'In-Use Stocks'!$L$81:$L$97,0),MATCH('CompilationCalcs - Di et al.EOL'!$C299,'In-Use Stocks'!$M$80:$V$80,0))</f>
        <v>8.5508327920284163E-2</v>
      </c>
      <c r="G299" t="s">
        <v>191</v>
      </c>
      <c r="H299" s="11">
        <f>IFERROR(INDEX(EndOfLife!$L$64:$P$78,MATCH($A299,EndOfLife!$A$64:$A$78,0),MATCH($G299,EndOfLife!$L$63:$P$63,0))*INDEX(PlasticsUse!$B$27:$L$41,MATCH('CompilationCalcs - Di et al.EOL'!$A299,PlasticsUse!$A$27:$A$41,0),MATCH('CompilationCalcs - Di et al.EOL'!$C299,PlasticsUse!$B$26:$L$26,0)),0)</f>
        <v>5.0705368080387241E-4</v>
      </c>
    </row>
    <row r="300" spans="1:8" x14ac:dyDescent="0.2">
      <c r="A300" t="s">
        <v>7</v>
      </c>
      <c r="B300" t="s">
        <v>206</v>
      </c>
      <c r="C300" t="s">
        <v>99</v>
      </c>
      <c r="D300" s="11">
        <f>INDEX(PlasticsUse!$B$48:$L$64,MATCH('CompilationCalcs - Di et al.EOL'!$A300,PlasticsUse!$A$48:$A$64,0),MATCH('CompilationCalcs - Di et al.EOL'!$C300,PlasticsUse!$B$47:$L$47,0))</f>
        <v>0.20617443319212375</v>
      </c>
      <c r="E300" s="11" t="str">
        <f>IF('CompilationCalcs - Di et al.EOL'!C300=PlasticsUse!$D$93,Conversions!$A$17,IF('CompilationCalcs - Di et al.EOL'!C300=PlasticsUse!$L$93,Conversions!$A$18,Conversions!$A$16))</f>
        <v>Transfer Station</v>
      </c>
      <c r="F300" s="11">
        <f>INDEX('In-Use Stocks'!$M$81:$V$97,MATCH('CompilationCalcs - Di et al.EOL'!$A300,'In-Use Stocks'!$L$81:$L$97,0),MATCH('CompilationCalcs - Di et al.EOL'!$C300,'In-Use Stocks'!$M$80:$V$80,0))</f>
        <v>0.20805639360710262</v>
      </c>
      <c r="G300" t="s">
        <v>191</v>
      </c>
      <c r="H300" s="11">
        <f>IFERROR(INDEX(EndOfLife!$L$64:$P$78,MATCH($A300,EndOfLife!$A$64:$A$78,0),MATCH($G300,EndOfLife!$L$63:$P$63,0))*INDEX(PlasticsUse!$B$27:$L$41,MATCH('CompilationCalcs - Di et al.EOL'!$A300,PlasticsUse!$A$27:$A$41,0),MATCH('CompilationCalcs - Di et al.EOL'!$C300,PlasticsUse!$B$26:$L$26,0)),0)</f>
        <v>5.0705368080387241E-4</v>
      </c>
    </row>
    <row r="301" spans="1:8" x14ac:dyDescent="0.2">
      <c r="A301" t="s">
        <v>7</v>
      </c>
      <c r="B301" t="s">
        <v>206</v>
      </c>
      <c r="C301" t="s">
        <v>69</v>
      </c>
      <c r="D301" s="11">
        <f>INDEX(PlasticsUse!$B$48:$L$64,MATCH('CompilationCalcs - Di et al.EOL'!$A301,PlasticsUse!$A$48:$A$64,0),MATCH('CompilationCalcs - Di et al.EOL'!$C301,PlasticsUse!$B$47:$L$47,0))</f>
        <v>0.20617443319212375</v>
      </c>
      <c r="E301" s="11" t="str">
        <f>IF('CompilationCalcs - Di et al.EOL'!C301=PlasticsUse!$D$93,Conversions!$A$17,IF('CompilationCalcs - Di et al.EOL'!C301=PlasticsUse!$L$93,Conversions!$A$18,Conversions!$A$16))</f>
        <v>Automotive Shredding Facility</v>
      </c>
      <c r="F301" s="11">
        <f>INDEX('In-Use Stocks'!$M$81:$V$97,MATCH('CompilationCalcs - Di et al.EOL'!$A301,'In-Use Stocks'!$L$81:$L$97,0),MATCH('CompilationCalcs - Di et al.EOL'!$C301,'In-Use Stocks'!$M$80:$V$80,0))</f>
        <v>0.2256059786741765</v>
      </c>
      <c r="G301" t="s">
        <v>191</v>
      </c>
      <c r="H301" s="11">
        <f>IFERROR(INDEX(EndOfLife!$L$64:$P$78,MATCH($A301,EndOfLife!$A$64:$A$78,0),MATCH($G301,EndOfLife!$L$63:$P$63,0))*INDEX(PlasticsUse!$B$27:$L$41,MATCH('CompilationCalcs - Di et al.EOL'!$A301,PlasticsUse!$A$27:$A$41,0),MATCH('CompilationCalcs - Di et al.EOL'!$C301,PlasticsUse!$B$26:$L$26,0)),0)</f>
        <v>5.0705368080387241E-4</v>
      </c>
    </row>
    <row r="302" spans="1:8" x14ac:dyDescent="0.2">
      <c r="A302" t="s">
        <v>7</v>
      </c>
      <c r="B302" t="s">
        <v>206</v>
      </c>
      <c r="C302" t="s">
        <v>100</v>
      </c>
      <c r="D302" s="11">
        <f>INDEX(PlasticsUse!$B$48:$L$64,MATCH('CompilationCalcs - Di et al.EOL'!$A302,PlasticsUse!$A$48:$A$64,0),MATCH('CompilationCalcs - Di et al.EOL'!$C302,PlasticsUse!$B$47:$L$47,0))</f>
        <v>0.20617443319212375</v>
      </c>
      <c r="E302" s="11" t="str">
        <f>IF('CompilationCalcs - Di et al.EOL'!C302=PlasticsUse!$D$93,Conversions!$A$17,IF('CompilationCalcs - Di et al.EOL'!C302=PlasticsUse!$L$93,Conversions!$A$18,Conversions!$A$16))</f>
        <v>Transfer Station</v>
      </c>
      <c r="F302" s="11">
        <f>INDEX('In-Use Stocks'!$M$81:$V$97,MATCH('CompilationCalcs - Di et al.EOL'!$A302,'In-Use Stocks'!$L$81:$L$97,0),MATCH('CompilationCalcs - Di et al.EOL'!$C302,'In-Use Stocks'!$M$80:$V$80,0))</f>
        <v>0.16562573377902703</v>
      </c>
      <c r="G302" t="s">
        <v>191</v>
      </c>
      <c r="H302" s="11">
        <f>IFERROR(INDEX(EndOfLife!$L$64:$P$78,MATCH($A302,EndOfLife!$A$64:$A$78,0),MATCH($G302,EndOfLife!$L$63:$P$63,0))*INDEX(PlasticsUse!$B$27:$L$41,MATCH('CompilationCalcs - Di et al.EOL'!$A302,PlasticsUse!$A$27:$A$41,0),MATCH('CompilationCalcs - Di et al.EOL'!$C302,PlasticsUse!$B$26:$L$26,0)),0)</f>
        <v>5.0705368080387241E-4</v>
      </c>
    </row>
    <row r="303" spans="1:8" x14ac:dyDescent="0.2">
      <c r="A303" t="s">
        <v>7</v>
      </c>
      <c r="B303" t="s">
        <v>206</v>
      </c>
      <c r="C303" t="s">
        <v>39</v>
      </c>
      <c r="D303" s="11">
        <f>INDEX(PlasticsUse!$B$48:$L$64,MATCH('CompilationCalcs - Di et al.EOL'!$A303,PlasticsUse!$A$48:$A$64,0),MATCH('CompilationCalcs - Di et al.EOL'!$C303,PlasticsUse!$B$47:$L$47,0))</f>
        <v>0.20617443319212375</v>
      </c>
      <c r="E303" s="11" t="str">
        <f>IF('CompilationCalcs - Di et al.EOL'!C303=PlasticsUse!$D$93,Conversions!$A$17,IF('CompilationCalcs - Di et al.EOL'!C303=PlasticsUse!$L$93,Conversions!$A$18,Conversions!$A$16))</f>
        <v>Transfer Station</v>
      </c>
      <c r="F303" s="11">
        <f>INDEX('In-Use Stocks'!$M$81:$V$97,MATCH('CompilationCalcs - Di et al.EOL'!$A303,'In-Use Stocks'!$L$81:$L$97,0),MATCH('CompilationCalcs - Di et al.EOL'!$C303,'In-Use Stocks'!$M$80:$V$80,0))</f>
        <v>0.26459818018597558</v>
      </c>
      <c r="G303" t="s">
        <v>191</v>
      </c>
      <c r="H303" s="11">
        <f>IFERROR(INDEX(EndOfLife!$L$64:$P$78,MATCH($A303,EndOfLife!$A$64:$A$78,0),MATCH($G303,EndOfLife!$L$63:$P$63,0))*INDEX(PlasticsUse!$B$27:$L$41,MATCH('CompilationCalcs - Di et al.EOL'!$A303,PlasticsUse!$A$27:$A$41,0),MATCH('CompilationCalcs - Di et al.EOL'!$C303,PlasticsUse!$B$26:$L$26,0)),0)</f>
        <v>5.0705368080387241E-4</v>
      </c>
    </row>
    <row r="304" spans="1:8" x14ac:dyDescent="0.2">
      <c r="A304" t="s">
        <v>7</v>
      </c>
      <c r="B304" t="s">
        <v>206</v>
      </c>
      <c r="C304" t="s">
        <v>68</v>
      </c>
      <c r="D304" s="11">
        <f>INDEX(PlasticsUse!$B$48:$L$64,MATCH('CompilationCalcs - Di et al.EOL'!$A304,PlasticsUse!$A$48:$A$64,0),MATCH('CompilationCalcs - Di et al.EOL'!$C304,PlasticsUse!$B$47:$L$47,0))</f>
        <v>0.20617443319212375</v>
      </c>
      <c r="E304" s="11" t="str">
        <f>IF('CompilationCalcs - Di et al.EOL'!C304=PlasticsUse!$D$93,Conversions!$A$17,IF('CompilationCalcs - Di et al.EOL'!C304=PlasticsUse!$L$93,Conversions!$A$18,Conversions!$A$16))</f>
        <v>Transfer Station</v>
      </c>
      <c r="F304" s="11">
        <f>INDEX('In-Use Stocks'!$M$81:$V$97,MATCH('CompilationCalcs - Di et al.EOL'!$A304,'In-Use Stocks'!$L$81:$L$97,0),MATCH('CompilationCalcs - Di et al.EOL'!$C304,'In-Use Stocks'!$M$80:$V$80,0))</f>
        <v>0.23508417591459085</v>
      </c>
      <c r="G304" t="s">
        <v>333</v>
      </c>
      <c r="H304" s="11">
        <f>IFERROR(INDEX(EndOfLife!$L$64:$P$78,MATCH($A304,EndOfLife!$A$64:$A$78,0),MATCH($G304,EndOfLife!$L$63:$P$63,0))*INDEX(PlasticsUse!$B$27:$L$41,MATCH('CompilationCalcs - Di et al.EOL'!$A304,PlasticsUse!$A$27:$A$41,0),MATCH('CompilationCalcs - Di et al.EOL'!$C304,PlasticsUse!$B$26:$L$26,0)),0)</f>
        <v>5.6374893412648504E-3</v>
      </c>
    </row>
    <row r="305" spans="1:8" x14ac:dyDescent="0.2">
      <c r="A305" t="s">
        <v>7</v>
      </c>
      <c r="B305" t="s">
        <v>206</v>
      </c>
      <c r="C305" t="s">
        <v>63</v>
      </c>
      <c r="D305" s="11">
        <f>INDEX(PlasticsUse!$B$48:$L$64,MATCH('CompilationCalcs - Di et al.EOL'!$A305,PlasticsUse!$A$48:$A$64,0),MATCH('CompilationCalcs - Di et al.EOL'!$C305,PlasticsUse!$B$47:$L$47,0))</f>
        <v>0.20617443319212375</v>
      </c>
      <c r="E305" s="11" t="str">
        <f>IF('CompilationCalcs - Di et al.EOL'!C305=PlasticsUse!$D$93,Conversions!$A$17,IF('CompilationCalcs - Di et al.EOL'!C305=PlasticsUse!$L$93,Conversions!$A$18,Conversions!$A$16))</f>
        <v>Transfer Station</v>
      </c>
      <c r="F305" s="11">
        <f>INDEX('In-Use Stocks'!$M$81:$V$97,MATCH('CompilationCalcs - Di et al.EOL'!$A305,'In-Use Stocks'!$L$81:$L$97,0),MATCH('CompilationCalcs - Di et al.EOL'!$C305,'In-Use Stocks'!$M$80:$V$80,0))</f>
        <v>0.21512160620325851</v>
      </c>
      <c r="G305" t="s">
        <v>191</v>
      </c>
      <c r="H305" s="11">
        <f>IFERROR(INDEX(EndOfLife!$L$64:$P$78,MATCH($A305,EndOfLife!$A$64:$A$78,0),MATCH($G305,EndOfLife!$L$63:$P$63,0))*INDEX(PlasticsUse!$B$27:$L$41,MATCH('CompilationCalcs - Di et al.EOL'!$A305,PlasticsUse!$A$27:$A$41,0),MATCH('CompilationCalcs - Di et al.EOL'!$C305,PlasticsUse!$B$26:$L$26,0)),0)</f>
        <v>5.0705368080387241E-4</v>
      </c>
    </row>
    <row r="306" spans="1:8" x14ac:dyDescent="0.2">
      <c r="A306" t="s">
        <v>7</v>
      </c>
      <c r="B306" t="s">
        <v>206</v>
      </c>
      <c r="C306" t="s">
        <v>92</v>
      </c>
      <c r="D306" s="11">
        <f>INDEX(PlasticsUse!$B$48:$L$64,MATCH('CompilationCalcs - Di et al.EOL'!$A306,PlasticsUse!$A$48:$A$64,0),MATCH('CompilationCalcs - Di et al.EOL'!$C306,PlasticsUse!$B$47:$L$47,0))</f>
        <v>0.20617443319212375</v>
      </c>
      <c r="E306" s="11" t="str">
        <f>IF('CompilationCalcs - Di et al.EOL'!C306=PlasticsUse!$D$93,Conversions!$A$17,IF('CompilationCalcs - Di et al.EOL'!C306=PlasticsUse!$L$93,Conversions!$A$18,Conversions!$A$16))</f>
        <v>Transfer Station</v>
      </c>
      <c r="F306" s="11">
        <f>INDEX('In-Use Stocks'!$M$81:$V$97,MATCH('CompilationCalcs - Di et al.EOL'!$A306,'In-Use Stocks'!$L$81:$L$97,0),MATCH('CompilationCalcs - Di et al.EOL'!$C306,'In-Use Stocks'!$M$80:$V$80,0))</f>
        <v>0.18612319857421852</v>
      </c>
      <c r="G306" t="s">
        <v>191</v>
      </c>
      <c r="H306" s="11">
        <f>IFERROR(INDEX(EndOfLife!$L$64:$P$78,MATCH($A306,EndOfLife!$A$64:$A$78,0),MATCH($G306,EndOfLife!$L$63:$P$63,0))*INDEX(PlasticsUse!$B$27:$L$41,MATCH('CompilationCalcs - Di et al.EOL'!$A306,PlasticsUse!$A$27:$A$41,0),MATCH('CompilationCalcs - Di et al.EOL'!$C306,PlasticsUse!$B$26:$L$26,0)),0)</f>
        <v>5.0705368080387241E-4</v>
      </c>
    </row>
    <row r="307" spans="1:8" x14ac:dyDescent="0.2">
      <c r="A307" t="s">
        <v>7</v>
      </c>
      <c r="B307" t="s">
        <v>206</v>
      </c>
      <c r="C307" t="s">
        <v>103</v>
      </c>
      <c r="D307" s="11">
        <f>INDEX(PlasticsUse!$B$48:$L$64,MATCH('CompilationCalcs - Di et al.EOL'!$A307,PlasticsUse!$A$48:$A$64,0),MATCH('CompilationCalcs - Di et al.EOL'!$C307,PlasticsUse!$B$47:$L$47,0))</f>
        <v>0</v>
      </c>
      <c r="E307" s="11" t="str">
        <f>IF('CompilationCalcs - Di et al.EOL'!C307=PlasticsUse!$D$93,Conversions!$A$17,IF('CompilationCalcs - Di et al.EOL'!C307=PlasticsUse!$L$93,Conversions!$A$18,Conversions!$A$16))</f>
        <v>Transfer Station</v>
      </c>
      <c r="F307" s="11">
        <f>INDEX('In-Use Stocks'!$M$81:$V$97,MATCH('CompilationCalcs - Di et al.EOL'!$A307,'In-Use Stocks'!$L$81:$L$97,0),MATCH('CompilationCalcs - Di et al.EOL'!$C307,'In-Use Stocks'!$M$80:$V$80,0))</f>
        <v>0</v>
      </c>
      <c r="G307" t="s">
        <v>191</v>
      </c>
      <c r="H307" s="11">
        <f>IFERROR(INDEX(EndOfLife!$L$64:$P$78,MATCH($A307,EndOfLife!$A$64:$A$78,0),MATCH($G307,EndOfLife!$L$63:$P$63,0))*INDEX(PlasticsUse!$B$27:$L$41,MATCH('CompilationCalcs - Di et al.EOL'!$A307,PlasticsUse!$A$27:$A$41,0),MATCH('CompilationCalcs - Di et al.EOL'!$C307,PlasticsUse!$B$26:$L$26,0)),0)</f>
        <v>0</v>
      </c>
    </row>
    <row r="308" spans="1:8" x14ac:dyDescent="0.2">
      <c r="A308" t="s">
        <v>7</v>
      </c>
      <c r="B308" t="s">
        <v>206</v>
      </c>
      <c r="C308" t="s">
        <v>86</v>
      </c>
      <c r="D308" s="11">
        <f>INDEX(PlasticsUse!$B$48:$L$64,MATCH('CompilationCalcs - Di et al.EOL'!$A308,PlasticsUse!$A$48:$A$64,0),MATCH('CompilationCalcs - Di et al.EOL'!$C308,PlasticsUse!$B$47:$L$47,0))</f>
        <v>0.20617443319212375</v>
      </c>
      <c r="E308" s="11" t="str">
        <f>IF('CompilationCalcs - Di et al.EOL'!C308=PlasticsUse!$D$93,Conversions!$A$17,IF('CompilationCalcs - Di et al.EOL'!C308=PlasticsUse!$L$93,Conversions!$A$18,Conversions!$A$16))</f>
        <v>Transfer Station</v>
      </c>
      <c r="F308" s="11">
        <f>INDEX('In-Use Stocks'!$M$81:$V$97,MATCH('CompilationCalcs - Di et al.EOL'!$A308,'In-Use Stocks'!$L$81:$L$97,0),MATCH('CompilationCalcs - Di et al.EOL'!$C308,'In-Use Stocks'!$M$80:$V$80,0))</f>
        <v>0.18612319857421852</v>
      </c>
      <c r="G308" t="s">
        <v>191</v>
      </c>
      <c r="H308" s="11">
        <f>IFERROR(INDEX(EndOfLife!$L$64:$P$78,MATCH($A308,EndOfLife!$A$64:$A$78,0),MATCH($G308,EndOfLife!$L$63:$P$63,0))*INDEX(PlasticsUse!$B$27:$L$41,MATCH('CompilationCalcs - Di et al.EOL'!$A308,PlasticsUse!$A$27:$A$41,0),MATCH('CompilationCalcs - Di et al.EOL'!$C308,PlasticsUse!$B$26:$L$26,0)),0)</f>
        <v>5.0705368080387241E-4</v>
      </c>
    </row>
    <row r="309" spans="1:8" x14ac:dyDescent="0.2">
      <c r="A309" t="s">
        <v>7</v>
      </c>
      <c r="B309" t="s">
        <v>206</v>
      </c>
      <c r="C309" t="s">
        <v>18</v>
      </c>
      <c r="D309" s="11">
        <f>INDEX(PlasticsUse!$B$48:$L$64,MATCH('CompilationCalcs - Di et al.EOL'!$A309,PlasticsUse!$A$48:$A$64,0),MATCH('CompilationCalcs - Di et al.EOL'!$C309,PlasticsUse!$B$47:$L$47,0))</f>
        <v>0.20617443319212375</v>
      </c>
      <c r="E309" s="11" t="str">
        <f>IF('CompilationCalcs - Di et al.EOL'!C309=PlasticsUse!$D$93,Conversions!$A$17,IF('CompilationCalcs - Di et al.EOL'!C309=PlasticsUse!$L$93,Conversions!$A$18,Conversions!$A$16))</f>
        <v>N/A</v>
      </c>
      <c r="F309" s="11">
        <v>0</v>
      </c>
      <c r="G309" t="s">
        <v>287</v>
      </c>
      <c r="H309" s="11">
        <f>IFERROR(INDEX(EndOfLife!$L$64:$P$78,MATCH($A309,EndOfLife!$A$64:$A$78,0),MATCH($G309,EndOfLife!$L$63:$P$63,0))*INDEX(PlasticsUse!$B$27:$L$41,MATCH('CompilationCalcs - Di et al.EOL'!$A309,PlasticsUse!$A$27:$A$41,0),MATCH('CompilationCalcs - Di et al.EOL'!$C309,PlasticsUse!$B$26:$L$26,0)),0)</f>
        <v>0</v>
      </c>
    </row>
    <row r="310" spans="1:8" x14ac:dyDescent="0.2">
      <c r="A310" t="s">
        <v>7</v>
      </c>
      <c r="B310" t="s">
        <v>207</v>
      </c>
      <c r="C310" t="s">
        <v>38</v>
      </c>
      <c r="D310" s="11"/>
      <c r="E310" s="11" t="str">
        <f>IF('CompilationCalcs - Di et al.EOL'!C310=PlasticsUse!$D$93,Conversions!$A$17,IF('CompilationCalcs - Di et al.EOL'!C310=PlasticsUse!$L$93,Conversions!$A$18,Conversions!$A$16))</f>
        <v>Transfer Station</v>
      </c>
      <c r="F310" s="11">
        <f t="shared" si="5"/>
        <v>0</v>
      </c>
      <c r="G310" t="s">
        <v>5</v>
      </c>
      <c r="H310" s="11">
        <f>IFERROR(INDEX(EndOfLife!$L$64:$P$78,MATCH($A310,EndOfLife!$A$64:$A$78,0),MATCH($G310,EndOfLife!$L$63:$P$63,0))*INDEX(PlasticsUse!$B$27:$L$41,MATCH('CompilationCalcs - Di et al.EOL'!$A310,PlasticsUse!$A$27:$A$41,0),MATCH('CompilationCalcs - Di et al.EOL'!$C310,PlasticsUse!$B$26:$L$26,0)),0)</f>
        <v>2.4845630359389748E-2</v>
      </c>
    </row>
    <row r="311" spans="1:8" x14ac:dyDescent="0.2">
      <c r="A311" t="s">
        <v>7</v>
      </c>
      <c r="B311" t="s">
        <v>207</v>
      </c>
      <c r="C311" t="s">
        <v>99</v>
      </c>
      <c r="D311" s="11"/>
      <c r="E311" s="11" t="str">
        <f>IF('CompilationCalcs - Di et al.EOL'!C311=PlasticsUse!$D$93,Conversions!$A$17,IF('CompilationCalcs - Di et al.EOL'!C311=PlasticsUse!$L$93,Conversions!$A$18,Conversions!$A$16))</f>
        <v>Transfer Station</v>
      </c>
      <c r="F311" s="11">
        <f t="shared" si="5"/>
        <v>0</v>
      </c>
      <c r="G311" t="s">
        <v>5</v>
      </c>
      <c r="H311" s="11">
        <f>IFERROR(INDEX(EndOfLife!$L$64:$P$78,MATCH($A311,EndOfLife!$A$64:$A$78,0),MATCH($G311,EndOfLife!$L$63:$P$63,0))*INDEX(PlasticsUse!$B$27:$L$41,MATCH('CompilationCalcs - Di et al.EOL'!$A311,PlasticsUse!$A$27:$A$41,0),MATCH('CompilationCalcs - Di et al.EOL'!$C311,PlasticsUse!$B$26:$L$26,0)),0)</f>
        <v>2.4845630359389748E-2</v>
      </c>
    </row>
    <row r="312" spans="1:8" x14ac:dyDescent="0.2">
      <c r="A312" t="s">
        <v>7</v>
      </c>
      <c r="B312" t="s">
        <v>207</v>
      </c>
      <c r="C312" t="s">
        <v>69</v>
      </c>
      <c r="D312" s="11"/>
      <c r="E312" s="11" t="str">
        <f>IF('CompilationCalcs - Di et al.EOL'!C312=PlasticsUse!$D$93,Conversions!$A$17,IF('CompilationCalcs - Di et al.EOL'!C312=PlasticsUse!$L$93,Conversions!$A$18,Conversions!$A$16))</f>
        <v>Automotive Shredding Facility</v>
      </c>
      <c r="F312" s="11">
        <f t="shared" si="5"/>
        <v>0</v>
      </c>
      <c r="G312" t="s">
        <v>5</v>
      </c>
      <c r="H312" s="11">
        <f>IFERROR(INDEX(EndOfLife!$L$64:$P$78,MATCH($A312,EndOfLife!$A$64:$A$78,0),MATCH($G312,EndOfLife!$L$63:$P$63,0))*INDEX(PlasticsUse!$B$27:$L$41,MATCH('CompilationCalcs - Di et al.EOL'!$A312,PlasticsUse!$A$27:$A$41,0),MATCH('CompilationCalcs - Di et al.EOL'!$C312,PlasticsUse!$B$26:$L$26,0)),0)</f>
        <v>2.4845630359389748E-2</v>
      </c>
    </row>
    <row r="313" spans="1:8" x14ac:dyDescent="0.2">
      <c r="A313" t="s">
        <v>7</v>
      </c>
      <c r="B313" t="s">
        <v>207</v>
      </c>
      <c r="C313" t="s">
        <v>100</v>
      </c>
      <c r="D313" s="11"/>
      <c r="E313" s="11" t="str">
        <f>IF('CompilationCalcs - Di et al.EOL'!C313=PlasticsUse!$D$93,Conversions!$A$17,IF('CompilationCalcs - Di et al.EOL'!C313=PlasticsUse!$L$93,Conversions!$A$18,Conversions!$A$16))</f>
        <v>Transfer Station</v>
      </c>
      <c r="F313" s="11">
        <f t="shared" si="5"/>
        <v>0</v>
      </c>
      <c r="G313" t="s">
        <v>5</v>
      </c>
      <c r="H313" s="11">
        <f>IFERROR(INDEX(EndOfLife!$L$64:$P$78,MATCH($A313,EndOfLife!$A$64:$A$78,0),MATCH($G313,EndOfLife!$L$63:$P$63,0))*INDEX(PlasticsUse!$B$27:$L$41,MATCH('CompilationCalcs - Di et al.EOL'!$A313,PlasticsUse!$A$27:$A$41,0),MATCH('CompilationCalcs - Di et al.EOL'!$C313,PlasticsUse!$B$26:$L$26,0)),0)</f>
        <v>2.4845630359389748E-2</v>
      </c>
    </row>
    <row r="314" spans="1:8" x14ac:dyDescent="0.2">
      <c r="A314" t="s">
        <v>7</v>
      </c>
      <c r="B314" t="s">
        <v>207</v>
      </c>
      <c r="C314" t="s">
        <v>39</v>
      </c>
      <c r="D314" s="11"/>
      <c r="E314" s="11" t="str">
        <f>IF('CompilationCalcs - Di et al.EOL'!C314=PlasticsUse!$D$93,Conversions!$A$17,IF('CompilationCalcs - Di et al.EOL'!C314=PlasticsUse!$L$93,Conversions!$A$18,Conversions!$A$16))</f>
        <v>Transfer Station</v>
      </c>
      <c r="F314" s="11">
        <f t="shared" si="5"/>
        <v>0</v>
      </c>
      <c r="G314" t="s">
        <v>5</v>
      </c>
      <c r="H314" s="11">
        <f>IFERROR(INDEX(EndOfLife!$L$64:$P$78,MATCH($A314,EndOfLife!$A$64:$A$78,0),MATCH($G314,EndOfLife!$L$63:$P$63,0))*INDEX(PlasticsUse!$B$27:$L$41,MATCH('CompilationCalcs - Di et al.EOL'!$A314,PlasticsUse!$A$27:$A$41,0),MATCH('CompilationCalcs - Di et al.EOL'!$C314,PlasticsUse!$B$26:$L$26,0)),0)</f>
        <v>2.4845630359389748E-2</v>
      </c>
    </row>
    <row r="315" spans="1:8" x14ac:dyDescent="0.2">
      <c r="A315" t="s">
        <v>7</v>
      </c>
      <c r="B315" t="s">
        <v>207</v>
      </c>
      <c r="C315" t="s">
        <v>63</v>
      </c>
      <c r="D315" s="11"/>
      <c r="E315" s="11" t="str">
        <f>IF('CompilationCalcs - Di et al.EOL'!C315=PlasticsUse!$D$93,Conversions!$A$17,IF('CompilationCalcs - Di et al.EOL'!C315=PlasticsUse!$L$93,Conversions!$A$18,Conversions!$A$16))</f>
        <v>Transfer Station</v>
      </c>
      <c r="F315" s="11">
        <f t="shared" si="5"/>
        <v>0</v>
      </c>
      <c r="G315" t="s">
        <v>5</v>
      </c>
      <c r="H315" s="11">
        <f>IFERROR(INDEX(EndOfLife!$L$64:$P$78,MATCH($A315,EndOfLife!$A$64:$A$78,0),MATCH($G315,EndOfLife!$L$63:$P$63,0))*INDEX(PlasticsUse!$B$27:$L$41,MATCH('CompilationCalcs - Di et al.EOL'!$A315,PlasticsUse!$A$27:$A$41,0),MATCH('CompilationCalcs - Di et al.EOL'!$C315,PlasticsUse!$B$26:$L$26,0)),0)</f>
        <v>2.4845630359389748E-2</v>
      </c>
    </row>
    <row r="316" spans="1:8" x14ac:dyDescent="0.2">
      <c r="A316" t="s">
        <v>7</v>
      </c>
      <c r="B316" t="s">
        <v>207</v>
      </c>
      <c r="C316" t="s">
        <v>92</v>
      </c>
      <c r="D316" s="11"/>
      <c r="E316" s="11" t="str">
        <f>IF('CompilationCalcs - Di et al.EOL'!C316=PlasticsUse!$D$93,Conversions!$A$17,IF('CompilationCalcs - Di et al.EOL'!C316=PlasticsUse!$L$93,Conversions!$A$18,Conversions!$A$16))</f>
        <v>Transfer Station</v>
      </c>
      <c r="F316" s="11">
        <f t="shared" si="5"/>
        <v>0</v>
      </c>
      <c r="G316" t="s">
        <v>5</v>
      </c>
      <c r="H316" s="11">
        <f>IFERROR(INDEX(EndOfLife!$L$64:$P$78,MATCH($A316,EndOfLife!$A$64:$A$78,0),MATCH($G316,EndOfLife!$L$63:$P$63,0))*INDEX(PlasticsUse!$B$27:$L$41,MATCH('CompilationCalcs - Di et al.EOL'!$A316,PlasticsUse!$A$27:$A$41,0),MATCH('CompilationCalcs - Di et al.EOL'!$C316,PlasticsUse!$B$26:$L$26,0)),0)</f>
        <v>2.4845630359389748E-2</v>
      </c>
    </row>
    <row r="317" spans="1:8" x14ac:dyDescent="0.2">
      <c r="A317" t="s">
        <v>7</v>
      </c>
      <c r="B317" t="s">
        <v>207</v>
      </c>
      <c r="C317" t="s">
        <v>103</v>
      </c>
      <c r="D317" s="11"/>
      <c r="E317" s="11" t="str">
        <f>IF('CompilationCalcs - Di et al.EOL'!C317=PlasticsUse!$D$93,Conversions!$A$17,IF('CompilationCalcs - Di et al.EOL'!C317=PlasticsUse!$L$93,Conversions!$A$18,Conversions!$A$16))</f>
        <v>Transfer Station</v>
      </c>
      <c r="F317" s="11">
        <f t="shared" si="5"/>
        <v>0</v>
      </c>
      <c r="G317" t="s">
        <v>5</v>
      </c>
      <c r="H317" s="11">
        <f>IFERROR(INDEX(EndOfLife!$L$64:$P$78,MATCH($A317,EndOfLife!$A$64:$A$78,0),MATCH($G317,EndOfLife!$L$63:$P$63,0))*INDEX(PlasticsUse!$B$27:$L$41,MATCH('CompilationCalcs - Di et al.EOL'!$A317,PlasticsUse!$A$27:$A$41,0),MATCH('CompilationCalcs - Di et al.EOL'!$C317,PlasticsUse!$B$26:$L$26,0)),0)</f>
        <v>0</v>
      </c>
    </row>
    <row r="318" spans="1:8" x14ac:dyDescent="0.2">
      <c r="A318" t="s">
        <v>7</v>
      </c>
      <c r="B318" t="s">
        <v>207</v>
      </c>
      <c r="C318" t="s">
        <v>86</v>
      </c>
      <c r="D318" s="11"/>
      <c r="E318" s="11" t="str">
        <f>IF('CompilationCalcs - Di et al.EOL'!C318=PlasticsUse!$D$93,Conversions!$A$17,IF('CompilationCalcs - Di et al.EOL'!C318=PlasticsUse!$L$93,Conversions!$A$18,Conversions!$A$16))</f>
        <v>Transfer Station</v>
      </c>
      <c r="F318" s="11">
        <f t="shared" si="5"/>
        <v>0</v>
      </c>
      <c r="G318" t="s">
        <v>5</v>
      </c>
      <c r="H318" s="11">
        <f>IFERROR(INDEX(EndOfLife!$L$64:$P$78,MATCH($A318,EndOfLife!$A$64:$A$78,0),MATCH($G318,EndOfLife!$L$63:$P$63,0))*INDEX(PlasticsUse!$B$27:$L$41,MATCH('CompilationCalcs - Di et al.EOL'!$A318,PlasticsUse!$A$27:$A$41,0),MATCH('CompilationCalcs - Di et al.EOL'!$C318,PlasticsUse!$B$26:$L$26,0)),0)</f>
        <v>2.4845630359389748E-2</v>
      </c>
    </row>
    <row r="319" spans="1:8" x14ac:dyDescent="0.2">
      <c r="A319" t="s">
        <v>7</v>
      </c>
      <c r="B319" t="s">
        <v>207</v>
      </c>
      <c r="C319" t="s">
        <v>18</v>
      </c>
      <c r="D319" s="11"/>
      <c r="E319" s="11" t="str">
        <f>IF('CompilationCalcs - Di et al.EOL'!C319=PlasticsUse!$D$93,Conversions!$A$17,IF('CompilationCalcs - Di et al.EOL'!C319=PlasticsUse!$L$93,Conversions!$A$18,Conversions!$A$16))</f>
        <v>N/A</v>
      </c>
      <c r="F319" s="11">
        <f t="shared" si="5"/>
        <v>0</v>
      </c>
      <c r="G319" t="s">
        <v>287</v>
      </c>
      <c r="H319" s="11">
        <f>IFERROR(INDEX(EndOfLife!$L$64:$P$78,MATCH($A319,EndOfLife!$A$64:$A$78,0),MATCH($G319,EndOfLife!$L$63:$P$63,0))*INDEX(PlasticsUse!$B$27:$L$41,MATCH('CompilationCalcs - Di et al.EOL'!$A319,PlasticsUse!$A$27:$A$41,0),MATCH('CompilationCalcs - Di et al.EOL'!$C319,PlasticsUse!$B$26:$L$26,0)),0)</f>
        <v>0</v>
      </c>
    </row>
    <row r="320" spans="1:8" x14ac:dyDescent="0.2">
      <c r="A320" t="s">
        <v>7</v>
      </c>
      <c r="B320" t="s">
        <v>207</v>
      </c>
      <c r="C320" t="s">
        <v>99</v>
      </c>
      <c r="D320" s="11"/>
      <c r="E320" s="11" t="str">
        <f>IF('CompilationCalcs - Di et al.EOL'!C320=PlasticsUse!$D$93,Conversions!$A$17,IF('CompilationCalcs - Di et al.EOL'!C320=PlasticsUse!$L$93,Conversions!$A$18,Conversions!$A$16))</f>
        <v>Transfer Station</v>
      </c>
      <c r="F320" s="11">
        <f t="shared" si="5"/>
        <v>0</v>
      </c>
      <c r="G320" t="s">
        <v>6</v>
      </c>
      <c r="H320" s="11">
        <f>IFERROR(INDEX(EndOfLife!$L$64:$P$78,MATCH($A320,EndOfLife!$A$64:$A$78,0),MATCH($G320,EndOfLife!$L$63:$P$63,0))*INDEX(PlasticsUse!$B$27:$L$41,MATCH('CompilationCalcs - Di et al.EOL'!$A320,PlasticsUse!$A$27:$A$41,0),MATCH('CompilationCalcs - Di et al.EOL'!$C320,PlasticsUse!$B$26:$L$26,0)),0)</f>
        <v>0.13008387922057171</v>
      </c>
    </row>
    <row r="321" spans="1:8" x14ac:dyDescent="0.2">
      <c r="A321" t="s">
        <v>7</v>
      </c>
      <c r="B321" t="s">
        <v>207</v>
      </c>
      <c r="C321" t="s">
        <v>69</v>
      </c>
      <c r="D321" s="11"/>
      <c r="E321" s="11" t="str">
        <f>IF('CompilationCalcs - Di et al.EOL'!C321=PlasticsUse!$D$93,Conversions!$A$17,IF('CompilationCalcs - Di et al.EOL'!C321=PlasticsUse!$L$93,Conversions!$A$18,Conversions!$A$16))</f>
        <v>Automotive Shredding Facility</v>
      </c>
      <c r="F321" s="11">
        <f t="shared" si="5"/>
        <v>0</v>
      </c>
      <c r="G321" t="s">
        <v>6</v>
      </c>
      <c r="H321" s="11">
        <f>IFERROR(INDEX(EndOfLife!$L$64:$P$78,MATCH($A321,EndOfLife!$A$64:$A$78,0),MATCH($G321,EndOfLife!$L$63:$P$63,0))*INDEX(PlasticsUse!$B$27:$L$41,MATCH('CompilationCalcs - Di et al.EOL'!$A321,PlasticsUse!$A$27:$A$41,0),MATCH('CompilationCalcs - Di et al.EOL'!$C321,PlasticsUse!$B$26:$L$26,0)),0)</f>
        <v>0.13008387922057171</v>
      </c>
    </row>
    <row r="322" spans="1:8" x14ac:dyDescent="0.2">
      <c r="A322" t="s">
        <v>7</v>
      </c>
      <c r="B322" t="s">
        <v>207</v>
      </c>
      <c r="C322" t="s">
        <v>100</v>
      </c>
      <c r="D322" s="11"/>
      <c r="E322" s="11" t="str">
        <f>IF('CompilationCalcs - Di et al.EOL'!C322=PlasticsUse!$D$93,Conversions!$A$17,IF('CompilationCalcs - Di et al.EOL'!C322=PlasticsUse!$L$93,Conversions!$A$18,Conversions!$A$16))</f>
        <v>Transfer Station</v>
      </c>
      <c r="F322" s="11">
        <f t="shared" si="5"/>
        <v>0</v>
      </c>
      <c r="G322" t="s">
        <v>6</v>
      </c>
      <c r="H322" s="11">
        <f>IFERROR(INDEX(EndOfLife!$L$64:$P$78,MATCH($A322,EndOfLife!$A$64:$A$78,0),MATCH($G322,EndOfLife!$L$63:$P$63,0))*INDEX(PlasticsUse!$B$27:$L$41,MATCH('CompilationCalcs - Di et al.EOL'!$A322,PlasticsUse!$A$27:$A$41,0),MATCH('CompilationCalcs - Di et al.EOL'!$C322,PlasticsUse!$B$26:$L$26,0)),0)</f>
        <v>0.13008387922057171</v>
      </c>
    </row>
    <row r="323" spans="1:8" x14ac:dyDescent="0.2">
      <c r="A323" t="s">
        <v>7</v>
      </c>
      <c r="B323" t="s">
        <v>207</v>
      </c>
      <c r="C323" t="s">
        <v>39</v>
      </c>
      <c r="D323" s="11"/>
      <c r="E323" s="11" t="str">
        <f>IF('CompilationCalcs - Di et al.EOL'!C323=PlasticsUse!$D$93,Conversions!$A$17,IF('CompilationCalcs - Di et al.EOL'!C323=PlasticsUse!$L$93,Conversions!$A$18,Conversions!$A$16))</f>
        <v>Transfer Station</v>
      </c>
      <c r="F323" s="11">
        <f t="shared" si="5"/>
        <v>0</v>
      </c>
      <c r="G323" t="s">
        <v>6</v>
      </c>
      <c r="H323" s="11">
        <f>IFERROR(INDEX(EndOfLife!$L$64:$P$78,MATCH($A323,EndOfLife!$A$64:$A$78,0),MATCH($G323,EndOfLife!$L$63:$P$63,0))*INDEX(PlasticsUse!$B$27:$L$41,MATCH('CompilationCalcs - Di et al.EOL'!$A323,PlasticsUse!$A$27:$A$41,0),MATCH('CompilationCalcs - Di et al.EOL'!$C323,PlasticsUse!$B$26:$L$26,0)),0)</f>
        <v>0.13008387922057171</v>
      </c>
    </row>
    <row r="324" spans="1:8" x14ac:dyDescent="0.2">
      <c r="A324" t="s">
        <v>7</v>
      </c>
      <c r="B324" t="s">
        <v>207</v>
      </c>
      <c r="C324" t="s">
        <v>68</v>
      </c>
      <c r="D324" s="11"/>
      <c r="E324" s="11" t="str">
        <f>IF('CompilationCalcs - Di et al.EOL'!C324=PlasticsUse!$D$93,Conversions!$A$17,IF('CompilationCalcs - Di et al.EOL'!C324=PlasticsUse!$L$93,Conversions!$A$18,Conversions!$A$16))</f>
        <v>Transfer Station</v>
      </c>
      <c r="F324" s="11">
        <f t="shared" si="5"/>
        <v>0</v>
      </c>
      <c r="G324" t="s">
        <v>6</v>
      </c>
      <c r="H324" s="11">
        <f>IFERROR(INDEX(EndOfLife!$L$64:$P$78,MATCH($A324,EndOfLife!$A$64:$A$78,0),MATCH($G324,EndOfLife!$L$63:$P$63,0))*INDEX(PlasticsUse!$B$27:$L$41,MATCH('CompilationCalcs - Di et al.EOL'!$A324,PlasticsUse!$A$27:$A$41,0),MATCH('CompilationCalcs - Di et al.EOL'!$C324,PlasticsUse!$B$26:$L$26,0)),0)</f>
        <v>0.13008387922057171</v>
      </c>
    </row>
    <row r="325" spans="1:8" x14ac:dyDescent="0.2">
      <c r="A325" t="s">
        <v>7</v>
      </c>
      <c r="B325" t="s">
        <v>207</v>
      </c>
      <c r="C325" t="s">
        <v>63</v>
      </c>
      <c r="D325" s="11"/>
      <c r="E325" s="11" t="str">
        <f>IF('CompilationCalcs - Di et al.EOL'!C325=PlasticsUse!$D$93,Conversions!$A$17,IF('CompilationCalcs - Di et al.EOL'!C325=PlasticsUse!$L$93,Conversions!$A$18,Conversions!$A$16))</f>
        <v>Transfer Station</v>
      </c>
      <c r="F325" s="11">
        <f t="shared" si="5"/>
        <v>0</v>
      </c>
      <c r="G325" t="s">
        <v>6</v>
      </c>
      <c r="H325" s="11">
        <f>IFERROR(INDEX(EndOfLife!$L$64:$P$78,MATCH($A325,EndOfLife!$A$64:$A$78,0),MATCH($G325,EndOfLife!$L$63:$P$63,0))*INDEX(PlasticsUse!$B$27:$L$41,MATCH('CompilationCalcs - Di et al.EOL'!$A325,PlasticsUse!$A$27:$A$41,0),MATCH('CompilationCalcs - Di et al.EOL'!$C325,PlasticsUse!$B$26:$L$26,0)),0)</f>
        <v>0.13008387922057171</v>
      </c>
    </row>
    <row r="326" spans="1:8" x14ac:dyDescent="0.2">
      <c r="A326" t="s">
        <v>7</v>
      </c>
      <c r="B326" t="s">
        <v>207</v>
      </c>
      <c r="C326" t="s">
        <v>92</v>
      </c>
      <c r="D326" s="11"/>
      <c r="E326" s="11" t="str">
        <f>IF('CompilationCalcs - Di et al.EOL'!C326=PlasticsUse!$D$93,Conversions!$A$17,IF('CompilationCalcs - Di et al.EOL'!C326=PlasticsUse!$L$93,Conversions!$A$18,Conversions!$A$16))</f>
        <v>Transfer Station</v>
      </c>
      <c r="F326" s="11">
        <f t="shared" si="5"/>
        <v>0</v>
      </c>
      <c r="G326" t="s">
        <v>6</v>
      </c>
      <c r="H326" s="11">
        <f>IFERROR(INDEX(EndOfLife!$L$64:$P$78,MATCH($A326,EndOfLife!$A$64:$A$78,0),MATCH($G326,EndOfLife!$L$63:$P$63,0))*INDEX(PlasticsUse!$B$27:$L$41,MATCH('CompilationCalcs - Di et al.EOL'!$A326,PlasticsUse!$A$27:$A$41,0),MATCH('CompilationCalcs - Di et al.EOL'!$C326,PlasticsUse!$B$26:$L$26,0)),0)</f>
        <v>0.13008387922057171</v>
      </c>
    </row>
    <row r="327" spans="1:8" x14ac:dyDescent="0.2">
      <c r="A327" t="s">
        <v>7</v>
      </c>
      <c r="B327" t="s">
        <v>207</v>
      </c>
      <c r="C327" t="s">
        <v>103</v>
      </c>
      <c r="D327" s="11"/>
      <c r="E327" s="11" t="str">
        <f>IF('CompilationCalcs - Di et al.EOL'!C327=PlasticsUse!$D$93,Conversions!$A$17,IF('CompilationCalcs - Di et al.EOL'!C327=PlasticsUse!$L$93,Conversions!$A$18,Conversions!$A$16))</f>
        <v>Transfer Station</v>
      </c>
      <c r="F327" s="11">
        <f t="shared" si="5"/>
        <v>0</v>
      </c>
      <c r="G327" t="s">
        <v>6</v>
      </c>
      <c r="H327" s="11">
        <f>IFERROR(INDEX(EndOfLife!$L$64:$P$78,MATCH($A327,EndOfLife!$A$64:$A$78,0),MATCH($G327,EndOfLife!$L$63:$P$63,0))*INDEX(PlasticsUse!$B$27:$L$41,MATCH('CompilationCalcs - Di et al.EOL'!$A327,PlasticsUse!$A$27:$A$41,0),MATCH('CompilationCalcs - Di et al.EOL'!$C327,PlasticsUse!$B$26:$L$26,0)),0)</f>
        <v>0</v>
      </c>
    </row>
    <row r="328" spans="1:8" x14ac:dyDescent="0.2">
      <c r="A328" t="s">
        <v>7</v>
      </c>
      <c r="B328" t="s">
        <v>207</v>
      </c>
      <c r="C328" t="s">
        <v>86</v>
      </c>
      <c r="D328" s="11"/>
      <c r="E328" s="11" t="str">
        <f>IF('CompilationCalcs - Di et al.EOL'!C328=PlasticsUse!$D$93,Conversions!$A$17,IF('CompilationCalcs - Di et al.EOL'!C328=PlasticsUse!$L$93,Conversions!$A$18,Conversions!$A$16))</f>
        <v>Transfer Station</v>
      </c>
      <c r="F328" s="11">
        <f t="shared" si="5"/>
        <v>0</v>
      </c>
      <c r="G328" t="s">
        <v>6</v>
      </c>
      <c r="H328" s="11">
        <f>IFERROR(INDEX(EndOfLife!$L$64:$P$78,MATCH($A328,EndOfLife!$A$64:$A$78,0),MATCH($G328,EndOfLife!$L$63:$P$63,0))*INDEX(PlasticsUse!$B$27:$L$41,MATCH('CompilationCalcs - Di et al.EOL'!$A328,PlasticsUse!$A$27:$A$41,0),MATCH('CompilationCalcs - Di et al.EOL'!$C328,PlasticsUse!$B$26:$L$26,0)),0)</f>
        <v>0.13008387922057171</v>
      </c>
    </row>
    <row r="329" spans="1:8" x14ac:dyDescent="0.2">
      <c r="A329" t="s">
        <v>7</v>
      </c>
      <c r="B329" t="s">
        <v>207</v>
      </c>
      <c r="C329" t="s">
        <v>18</v>
      </c>
      <c r="D329" s="11"/>
      <c r="E329" s="11" t="str">
        <f>IF('CompilationCalcs - Di et al.EOL'!C329=PlasticsUse!$D$93,Conversions!$A$17,IF('CompilationCalcs - Di et al.EOL'!C329=PlasticsUse!$L$93,Conversions!$A$18,Conversions!$A$16))</f>
        <v>N/A</v>
      </c>
      <c r="F329" s="11">
        <f t="shared" si="5"/>
        <v>0</v>
      </c>
      <c r="G329" t="s">
        <v>287</v>
      </c>
      <c r="H329" s="11">
        <f>IFERROR(INDEX(EndOfLife!$L$64:$P$78,MATCH($A329,EndOfLife!$A$64:$A$78,0),MATCH($G329,EndOfLife!$L$63:$P$63,0))*INDEX(PlasticsUse!$B$27:$L$41,MATCH('CompilationCalcs - Di et al.EOL'!$A329,PlasticsUse!$A$27:$A$41,0),MATCH('CompilationCalcs - Di et al.EOL'!$C329,PlasticsUse!$B$26:$L$26,0)),0)</f>
        <v>0</v>
      </c>
    </row>
    <row r="330" spans="1:8" ht="17" x14ac:dyDescent="0.2">
      <c r="A330" t="s">
        <v>7</v>
      </c>
      <c r="B330" t="s">
        <v>207</v>
      </c>
      <c r="E330" s="11" t="s">
        <v>191</v>
      </c>
      <c r="F330" s="11">
        <f t="shared" si="5"/>
        <v>0</v>
      </c>
      <c r="G330" s="28" t="s">
        <v>360</v>
      </c>
      <c r="H330" s="11">
        <f>INDEX(EndOfLife!$T$64:$X$78,MATCH('CompilationCalcs - Di et al.EOL'!$A330,EndOfLife!$S$64:$S$78,0),MATCH('CompilationCalcs - Di et al.EOL'!$G330,EndOfLife!$T$63:$X$63,0))</f>
        <v>0</v>
      </c>
    </row>
    <row r="331" spans="1:8" ht="17" x14ac:dyDescent="0.2">
      <c r="A331" t="s">
        <v>7</v>
      </c>
      <c r="B331" t="s">
        <v>207</v>
      </c>
      <c r="E331" s="11" t="s">
        <v>191</v>
      </c>
      <c r="F331" s="11">
        <f t="shared" si="5"/>
        <v>0</v>
      </c>
      <c r="G331" s="28" t="s">
        <v>361</v>
      </c>
      <c r="H331" s="11">
        <f>INDEX(EndOfLife!$T$64:$X$78,MATCH('CompilationCalcs - Di et al.EOL'!$A331,EndOfLife!$S$64:$S$78,0),MATCH('CompilationCalcs - Di et al.EOL'!$G331,EndOfLife!$T$63:$X$63,0))</f>
        <v>3.7184612663858389E-3</v>
      </c>
    </row>
    <row r="332" spans="1:8" ht="17" x14ac:dyDescent="0.2">
      <c r="A332" t="s">
        <v>7</v>
      </c>
      <c r="B332" t="s">
        <v>207</v>
      </c>
      <c r="E332" s="11" t="s">
        <v>360</v>
      </c>
      <c r="F332" s="11">
        <f t="shared" si="5"/>
        <v>0</v>
      </c>
      <c r="G332" s="28" t="s">
        <v>192</v>
      </c>
      <c r="H332" s="11">
        <f>INDEX(EndOfLife!$T$64:$X$78,MATCH('CompilationCalcs - Di et al.EOL'!$A332,EndOfLife!$S$64:$S$78,0),MATCH('CompilationCalcs - Di et al.EOL'!$G332,EndOfLife!$T$63:$X$63,0))</f>
        <v>0</v>
      </c>
    </row>
    <row r="333" spans="1:8" ht="17" x14ac:dyDescent="0.2">
      <c r="A333" t="s">
        <v>7</v>
      </c>
      <c r="B333" t="s">
        <v>207</v>
      </c>
      <c r="E333" s="11" t="s">
        <v>191</v>
      </c>
      <c r="F333" s="11">
        <f t="shared" si="5"/>
        <v>0</v>
      </c>
      <c r="G333" s="28" t="s">
        <v>193</v>
      </c>
      <c r="H333" s="11">
        <f>INDEX(EndOfLife!$T$64:$X$78,MATCH('CompilationCalcs - Di et al.EOL'!$A333,EndOfLife!$S$64:$S$78,0),MATCH('CompilationCalcs - Di et al.EOL'!$G333,EndOfLife!$T$63:$X$63,0))</f>
        <v>1.8592306331929192E-3</v>
      </c>
    </row>
    <row r="334" spans="1:8" x14ac:dyDescent="0.2">
      <c r="A334" t="s">
        <v>2</v>
      </c>
      <c r="B334" t="s">
        <v>206</v>
      </c>
      <c r="C334" t="s">
        <v>38</v>
      </c>
      <c r="D334" s="11">
        <f>INDEX(PlasticsUse!$B$48:$L$64,MATCH('CompilationCalcs - Di et al.EOL'!$A334,PlasticsUse!$A$48:$A$64,0),MATCH('CompilationCalcs - Di et al.EOL'!$C334,PlasticsUse!$B$47:$L$47,0))</f>
        <v>0</v>
      </c>
      <c r="E334" s="11" t="str">
        <f>IF('CompilationCalcs - Di et al.EOL'!C334=PlasticsUse!$D$93,Conversions!$A$17,IF('CompilationCalcs - Di et al.EOL'!C334=PlasticsUse!$L$93,Conversions!$A$18,Conversions!$A$16))</f>
        <v>Transfer Station</v>
      </c>
      <c r="F334" s="11">
        <f>INDEX('In-Use Stocks'!$M$81:$V$97,MATCH('CompilationCalcs - Di et al.EOL'!$A334,'In-Use Stocks'!$L$81:$L$97,0),MATCH('CompilationCalcs - Di et al.EOL'!$C334,'In-Use Stocks'!$M$80:$V$80,0))</f>
        <v>0</v>
      </c>
      <c r="G334" t="s">
        <v>191</v>
      </c>
      <c r="H334" s="11">
        <f>IFERROR(INDEX(EndOfLife!$L$64:$P$78,MATCH($A334,EndOfLife!$A$64:$A$78,0),MATCH($G334,EndOfLife!$L$63:$P$63,0))*INDEX(PlasticsUse!$B$27:$L$41,MATCH('CompilationCalcs - Di et al.EOL'!$A334,PlasticsUse!$A$27:$A$41,0),MATCH('CompilationCalcs - Di et al.EOL'!$C334,PlasticsUse!$B$26:$L$26,0)),0)</f>
        <v>0</v>
      </c>
    </row>
    <row r="335" spans="1:8" x14ac:dyDescent="0.2">
      <c r="A335" t="s">
        <v>2</v>
      </c>
      <c r="B335" t="s">
        <v>206</v>
      </c>
      <c r="C335" t="s">
        <v>99</v>
      </c>
      <c r="D335" s="11">
        <f>INDEX(PlasticsUse!$B$48:$L$64,MATCH('CompilationCalcs - Di et al.EOL'!$A335,PlasticsUse!$A$48:$A$64,0),MATCH('CompilationCalcs - Di et al.EOL'!$C335,PlasticsUse!$B$47:$L$47,0))</f>
        <v>0</v>
      </c>
      <c r="E335" s="11" t="str">
        <f>IF('CompilationCalcs - Di et al.EOL'!C335=PlasticsUse!$D$93,Conversions!$A$17,IF('CompilationCalcs - Di et al.EOL'!C335=PlasticsUse!$L$93,Conversions!$A$18,Conversions!$A$16))</f>
        <v>Transfer Station</v>
      </c>
      <c r="F335" s="11">
        <f>INDEX('In-Use Stocks'!$M$81:$V$97,MATCH('CompilationCalcs - Di et al.EOL'!$A335,'In-Use Stocks'!$L$81:$L$97,0),MATCH('CompilationCalcs - Di et al.EOL'!$C335,'In-Use Stocks'!$M$80:$V$80,0))</f>
        <v>0</v>
      </c>
      <c r="G335" t="s">
        <v>191</v>
      </c>
      <c r="H335" s="11">
        <f>IFERROR(INDEX(EndOfLife!$L$64:$P$78,MATCH($A335,EndOfLife!$A$64:$A$78,0),MATCH($G335,EndOfLife!$L$63:$P$63,0))*INDEX(PlasticsUse!$B$27:$L$41,MATCH('CompilationCalcs - Di et al.EOL'!$A335,PlasticsUse!$A$27:$A$41,0),MATCH('CompilationCalcs - Di et al.EOL'!$C335,PlasticsUse!$B$26:$L$26,0)),0)</f>
        <v>0</v>
      </c>
    </row>
    <row r="336" spans="1:8" x14ac:dyDescent="0.2">
      <c r="A336" t="s">
        <v>2</v>
      </c>
      <c r="B336" t="s">
        <v>206</v>
      </c>
      <c r="C336" t="s">
        <v>69</v>
      </c>
      <c r="D336" s="11">
        <f>INDEX(PlasticsUse!$B$48:$L$64,MATCH('CompilationCalcs - Di et al.EOL'!$A336,PlasticsUse!$A$48:$A$64,0),MATCH('CompilationCalcs - Di et al.EOL'!$C336,PlasticsUse!$B$47:$L$47,0))</f>
        <v>0</v>
      </c>
      <c r="E336" s="11" t="str">
        <f>IF('CompilationCalcs - Di et al.EOL'!C336=PlasticsUse!$D$93,Conversions!$A$17,IF('CompilationCalcs - Di et al.EOL'!C336=PlasticsUse!$L$93,Conversions!$A$18,Conversions!$A$16))</f>
        <v>Automotive Shredding Facility</v>
      </c>
      <c r="F336" s="11">
        <f>INDEX('In-Use Stocks'!$M$81:$V$97,MATCH('CompilationCalcs - Di et al.EOL'!$A336,'In-Use Stocks'!$L$81:$L$97,0),MATCH('CompilationCalcs - Di et al.EOL'!$C336,'In-Use Stocks'!$M$80:$V$80,0))</f>
        <v>0</v>
      </c>
      <c r="G336" t="s">
        <v>191</v>
      </c>
      <c r="H336" s="11">
        <f>IFERROR(INDEX(EndOfLife!$L$64:$P$78,MATCH($A336,EndOfLife!$A$64:$A$78,0),MATCH($G336,EndOfLife!$L$63:$P$63,0))*INDEX(PlasticsUse!$B$27:$L$41,MATCH('CompilationCalcs - Di et al.EOL'!$A336,PlasticsUse!$A$27:$A$41,0),MATCH('CompilationCalcs - Di et al.EOL'!$C336,PlasticsUse!$B$26:$L$26,0)),0)</f>
        <v>0</v>
      </c>
    </row>
    <row r="337" spans="1:8" x14ac:dyDescent="0.2">
      <c r="A337" t="s">
        <v>2</v>
      </c>
      <c r="B337" t="s">
        <v>206</v>
      </c>
      <c r="C337" t="s">
        <v>100</v>
      </c>
      <c r="D337" s="11">
        <f>INDEX(PlasticsUse!$B$48:$L$64,MATCH('CompilationCalcs - Di et al.EOL'!$A337,PlasticsUse!$A$48:$A$64,0),MATCH('CompilationCalcs - Di et al.EOL'!$C337,PlasticsUse!$B$47:$L$47,0))</f>
        <v>0</v>
      </c>
      <c r="E337" s="11" t="str">
        <f>IF('CompilationCalcs - Di et al.EOL'!C337=PlasticsUse!$D$93,Conversions!$A$17,IF('CompilationCalcs - Di et al.EOL'!C337=PlasticsUse!$L$93,Conversions!$A$18,Conversions!$A$16))</f>
        <v>Transfer Station</v>
      </c>
      <c r="F337" s="11">
        <f>INDEX('In-Use Stocks'!$M$81:$V$97,MATCH('CompilationCalcs - Di et al.EOL'!$A337,'In-Use Stocks'!$L$81:$L$97,0),MATCH('CompilationCalcs - Di et al.EOL'!$C337,'In-Use Stocks'!$M$80:$V$80,0))</f>
        <v>0</v>
      </c>
      <c r="G337" t="s">
        <v>191</v>
      </c>
      <c r="H337" s="11">
        <f>IFERROR(INDEX(EndOfLife!$L$64:$P$78,MATCH($A337,EndOfLife!$A$64:$A$78,0),MATCH($G337,EndOfLife!$L$63:$P$63,0))*INDEX(PlasticsUse!$B$27:$L$41,MATCH('CompilationCalcs - Di et al.EOL'!$A337,PlasticsUse!$A$27:$A$41,0),MATCH('CompilationCalcs - Di et al.EOL'!$C337,PlasticsUse!$B$26:$L$26,0)),0)</f>
        <v>0</v>
      </c>
    </row>
    <row r="338" spans="1:8" x14ac:dyDescent="0.2">
      <c r="A338" t="s">
        <v>2</v>
      </c>
      <c r="B338" t="s">
        <v>206</v>
      </c>
      <c r="C338" t="s">
        <v>39</v>
      </c>
      <c r="D338" s="11">
        <f>INDEX(PlasticsUse!$B$48:$L$64,MATCH('CompilationCalcs - Di et al.EOL'!$A338,PlasticsUse!$A$48:$A$64,0),MATCH('CompilationCalcs - Di et al.EOL'!$C338,PlasticsUse!$B$47:$L$47,0))</f>
        <v>2.2573636363636371</v>
      </c>
      <c r="E338" s="11" t="str">
        <f>IF('CompilationCalcs - Di et al.EOL'!C338=PlasticsUse!$D$93,Conversions!$A$17,IF('CompilationCalcs - Di et al.EOL'!C338=PlasticsUse!$L$93,Conversions!$A$18,Conversions!$A$16))</f>
        <v>Transfer Station</v>
      </c>
      <c r="F338" s="11">
        <f>INDEX('In-Use Stocks'!$M$81:$V$97,MATCH('CompilationCalcs - Di et al.EOL'!$A338,'In-Use Stocks'!$L$81:$L$97,0),MATCH('CompilationCalcs - Di et al.EOL'!$C338,'In-Use Stocks'!$M$80:$V$80,0))</f>
        <v>3.246538846797292</v>
      </c>
      <c r="G338" t="s">
        <v>191</v>
      </c>
      <c r="H338" s="11">
        <f>IFERROR(INDEX(EndOfLife!$L$64:$P$78,MATCH($A338,EndOfLife!$A$64:$A$78,0),MATCH($G338,EndOfLife!$L$63:$P$63,0))*INDEX(PlasticsUse!$B$27:$L$41,MATCH('CompilationCalcs - Di et al.EOL'!$A338,PlasticsUse!$A$27:$A$41,0),MATCH('CompilationCalcs - Di et al.EOL'!$C338,PlasticsUse!$B$26:$L$26,0)),0)</f>
        <v>0.56306273808132623</v>
      </c>
    </row>
    <row r="339" spans="1:8" x14ac:dyDescent="0.2">
      <c r="A339" t="s">
        <v>2</v>
      </c>
      <c r="B339" t="s">
        <v>206</v>
      </c>
      <c r="C339" t="s">
        <v>68</v>
      </c>
      <c r="D339" s="11">
        <f>INDEX(PlasticsUse!$B$48:$L$64,MATCH('CompilationCalcs - Di et al.EOL'!$A339,PlasticsUse!$A$48:$A$64,0),MATCH('CompilationCalcs - Di et al.EOL'!$C339,PlasticsUse!$B$47:$L$47,0))</f>
        <v>0</v>
      </c>
      <c r="E339" s="11" t="str">
        <f>IF('CompilationCalcs - Di et al.EOL'!C339=PlasticsUse!$D$93,Conversions!$A$17,IF('CompilationCalcs - Di et al.EOL'!C339=PlasticsUse!$L$93,Conversions!$A$18,Conversions!$A$16))</f>
        <v>Transfer Station</v>
      </c>
      <c r="F339" s="11">
        <f>INDEX('In-Use Stocks'!$M$81:$V$97,MATCH('CompilationCalcs - Di et al.EOL'!$A339,'In-Use Stocks'!$L$81:$L$97,0),MATCH('CompilationCalcs - Di et al.EOL'!$C339,'In-Use Stocks'!$M$80:$V$80,0))</f>
        <v>0</v>
      </c>
      <c r="G339" t="s">
        <v>333</v>
      </c>
      <c r="H339" s="11">
        <f>IFERROR(INDEX(EndOfLife!$L$64:$P$78,MATCH($A339,EndOfLife!$A$64:$A$78,0),MATCH($G339,EndOfLife!$L$63:$P$63,0))*INDEX(PlasticsUse!$B$27:$L$41,MATCH('CompilationCalcs - Di et al.EOL'!$A339,PlasticsUse!$A$27:$A$41,0),MATCH('CompilationCalcs - Di et al.EOL'!$C339,PlasticsUse!$B$26:$L$26,0)),0)</f>
        <v>0</v>
      </c>
    </row>
    <row r="340" spans="1:8" x14ac:dyDescent="0.2">
      <c r="A340" t="s">
        <v>2</v>
      </c>
      <c r="B340" t="s">
        <v>206</v>
      </c>
      <c r="C340" t="s">
        <v>63</v>
      </c>
      <c r="D340" s="11">
        <f>INDEX(PlasticsUse!$B$48:$L$64,MATCH('CompilationCalcs - Di et al.EOL'!$A340,PlasticsUse!$A$48:$A$64,0),MATCH('CompilationCalcs - Di et al.EOL'!$C340,PlasticsUse!$B$47:$L$47,0))</f>
        <v>0</v>
      </c>
      <c r="E340" s="11" t="str">
        <f>IF('CompilationCalcs - Di et al.EOL'!C340=PlasticsUse!$D$93,Conversions!$A$17,IF('CompilationCalcs - Di et al.EOL'!C340=PlasticsUse!$L$93,Conversions!$A$18,Conversions!$A$16))</f>
        <v>Transfer Station</v>
      </c>
      <c r="F340" s="11">
        <f>INDEX('In-Use Stocks'!$M$81:$V$97,MATCH('CompilationCalcs - Di et al.EOL'!$A340,'In-Use Stocks'!$L$81:$L$97,0),MATCH('CompilationCalcs - Di et al.EOL'!$C340,'In-Use Stocks'!$M$80:$V$80,0))</f>
        <v>0</v>
      </c>
      <c r="G340" t="s">
        <v>191</v>
      </c>
      <c r="H340" s="11">
        <f>IFERROR(INDEX(EndOfLife!$L$64:$P$78,MATCH($A340,EndOfLife!$A$64:$A$78,0),MATCH($G340,EndOfLife!$L$63:$P$63,0))*INDEX(PlasticsUse!$B$27:$L$41,MATCH('CompilationCalcs - Di et al.EOL'!$A340,PlasticsUse!$A$27:$A$41,0),MATCH('CompilationCalcs - Di et al.EOL'!$C340,PlasticsUse!$B$26:$L$26,0)),0)</f>
        <v>0</v>
      </c>
    </row>
    <row r="341" spans="1:8" x14ac:dyDescent="0.2">
      <c r="A341" t="s">
        <v>2</v>
      </c>
      <c r="B341" t="s">
        <v>206</v>
      </c>
      <c r="C341" t="s">
        <v>92</v>
      </c>
      <c r="D341" s="11">
        <f>INDEX(PlasticsUse!$B$48:$L$64,MATCH('CompilationCalcs - Di et al.EOL'!$A341,PlasticsUse!$A$48:$A$64,0),MATCH('CompilationCalcs - Di et al.EOL'!$C341,PlasticsUse!$B$47:$L$47,0))</f>
        <v>0</v>
      </c>
      <c r="E341" s="11" t="str">
        <f>IF('CompilationCalcs - Di et al.EOL'!C341=PlasticsUse!$D$93,Conversions!$A$17,IF('CompilationCalcs - Di et al.EOL'!C341=PlasticsUse!$L$93,Conversions!$A$18,Conversions!$A$16))</f>
        <v>Transfer Station</v>
      </c>
      <c r="F341" s="11">
        <f>INDEX('In-Use Stocks'!$M$81:$V$97,MATCH('CompilationCalcs - Di et al.EOL'!$A341,'In-Use Stocks'!$L$81:$L$97,0),MATCH('CompilationCalcs - Di et al.EOL'!$C341,'In-Use Stocks'!$M$80:$V$80,0))</f>
        <v>0</v>
      </c>
      <c r="G341" t="s">
        <v>191</v>
      </c>
      <c r="H341" s="11">
        <f>IFERROR(INDEX(EndOfLife!$L$64:$P$78,MATCH($A341,EndOfLife!$A$64:$A$78,0),MATCH($G341,EndOfLife!$L$63:$P$63,0))*INDEX(PlasticsUse!$B$27:$L$41,MATCH('CompilationCalcs - Di et al.EOL'!$A341,PlasticsUse!$A$27:$A$41,0),MATCH('CompilationCalcs - Di et al.EOL'!$C341,PlasticsUse!$B$26:$L$26,0)),0)</f>
        <v>0</v>
      </c>
    </row>
    <row r="342" spans="1:8" x14ac:dyDescent="0.2">
      <c r="A342" t="s">
        <v>2</v>
      </c>
      <c r="B342" t="s">
        <v>206</v>
      </c>
      <c r="C342" t="s">
        <v>103</v>
      </c>
      <c r="D342" s="11">
        <f>INDEX(PlasticsUse!$B$48:$L$64,MATCH('CompilationCalcs - Di et al.EOL'!$A342,PlasticsUse!$A$48:$A$64,0),MATCH('CompilationCalcs - Di et al.EOL'!$C342,PlasticsUse!$B$47:$L$47,0))</f>
        <v>0</v>
      </c>
      <c r="E342" s="11" t="str">
        <f>IF('CompilationCalcs - Di et al.EOL'!C342=PlasticsUse!$D$93,Conversions!$A$17,IF('CompilationCalcs - Di et al.EOL'!C342=PlasticsUse!$L$93,Conversions!$A$18,Conversions!$A$16))</f>
        <v>Transfer Station</v>
      </c>
      <c r="F342" s="11">
        <f>INDEX('In-Use Stocks'!$M$81:$V$97,MATCH('CompilationCalcs - Di et al.EOL'!$A342,'In-Use Stocks'!$L$81:$L$97,0),MATCH('CompilationCalcs - Di et al.EOL'!$C342,'In-Use Stocks'!$M$80:$V$80,0))</f>
        <v>0</v>
      </c>
      <c r="G342" t="s">
        <v>191</v>
      </c>
      <c r="H342" s="11">
        <f>IFERROR(INDEX(EndOfLife!$L$64:$P$78,MATCH($A342,EndOfLife!$A$64:$A$78,0),MATCH($G342,EndOfLife!$L$63:$P$63,0))*INDEX(PlasticsUse!$B$27:$L$41,MATCH('CompilationCalcs - Di et al.EOL'!$A342,PlasticsUse!$A$27:$A$41,0),MATCH('CompilationCalcs - Di et al.EOL'!$C342,PlasticsUse!$B$26:$L$26,0)),0)</f>
        <v>0</v>
      </c>
    </row>
    <row r="343" spans="1:8" x14ac:dyDescent="0.2">
      <c r="A343" t="s">
        <v>2</v>
      </c>
      <c r="B343" t="s">
        <v>206</v>
      </c>
      <c r="C343" t="s">
        <v>86</v>
      </c>
      <c r="D343" s="11">
        <f>INDEX(PlasticsUse!$B$48:$L$64,MATCH('CompilationCalcs - Di et al.EOL'!$A343,PlasticsUse!$A$48:$A$64,0),MATCH('CompilationCalcs - Di et al.EOL'!$C343,PlasticsUse!$B$47:$L$47,0))</f>
        <v>0.56081818181818188</v>
      </c>
      <c r="E343" s="11" t="str">
        <f>IF('CompilationCalcs - Di et al.EOL'!C343=PlasticsUse!$D$93,Conversions!$A$17,IF('CompilationCalcs - Di et al.EOL'!C343=PlasticsUse!$L$93,Conversions!$A$18,Conversions!$A$16))</f>
        <v>Transfer Station</v>
      </c>
      <c r="F343" s="11">
        <f>INDEX('In-Use Stocks'!$M$81:$V$97,MATCH('CompilationCalcs - Di et al.EOL'!$A343,'In-Use Stocks'!$L$81:$L$97,0),MATCH('CompilationCalcs - Di et al.EOL'!$C343,'In-Use Stocks'!$M$80:$V$80,0))</f>
        <v>0.56735491121090986</v>
      </c>
      <c r="G343" t="s">
        <v>191</v>
      </c>
      <c r="H343" s="11">
        <f>IFERROR(INDEX(EndOfLife!$L$64:$P$78,MATCH($A343,EndOfLife!$A$64:$A$78,0),MATCH($G343,EndOfLife!$L$63:$P$63,0))*INDEX(PlasticsUse!$B$27:$L$41,MATCH('CompilationCalcs - Di et al.EOL'!$A343,PlasticsUse!$A$27:$A$41,0),MATCH('CompilationCalcs - Di et al.EOL'!$C343,PlasticsUse!$B$26:$L$26,0)),0)</f>
        <v>0.1398869973510411</v>
      </c>
    </row>
    <row r="344" spans="1:8" x14ac:dyDescent="0.2">
      <c r="A344" t="s">
        <v>2</v>
      </c>
      <c r="B344" t="s">
        <v>206</v>
      </c>
      <c r="C344" t="s">
        <v>18</v>
      </c>
      <c r="D344" s="11">
        <f>INDEX(PlasticsUse!$B$48:$L$64,MATCH('CompilationCalcs - Di et al.EOL'!$A344,PlasticsUse!$A$48:$A$64,0),MATCH('CompilationCalcs - Di et al.EOL'!$C344,PlasticsUse!$B$47:$L$47,0))</f>
        <v>0</v>
      </c>
      <c r="E344" s="11" t="str">
        <f>IF('CompilationCalcs - Di et al.EOL'!C344=PlasticsUse!$D$93,Conversions!$A$17,IF('CompilationCalcs - Di et al.EOL'!C344=PlasticsUse!$L$93,Conversions!$A$18,Conversions!$A$16))</f>
        <v>N/A</v>
      </c>
      <c r="F344" s="11">
        <f t="shared" si="5"/>
        <v>0</v>
      </c>
      <c r="G344" t="s">
        <v>287</v>
      </c>
      <c r="H344" s="11">
        <f>IFERROR(INDEX(EndOfLife!$L$64:$P$78,MATCH($A344,EndOfLife!$A$64:$A$78,0),MATCH($G344,EndOfLife!$L$63:$P$63,0))*INDEX(PlasticsUse!$B$27:$L$41,MATCH('CompilationCalcs - Di et al.EOL'!$A344,PlasticsUse!$A$27:$A$41,0),MATCH('CompilationCalcs - Di et al.EOL'!$C344,PlasticsUse!$B$26:$L$26,0)),0)</f>
        <v>0</v>
      </c>
    </row>
    <row r="345" spans="1:8" x14ac:dyDescent="0.2">
      <c r="A345" t="s">
        <v>2</v>
      </c>
      <c r="B345" t="s">
        <v>207</v>
      </c>
      <c r="C345" t="s">
        <v>38</v>
      </c>
      <c r="D345" s="11"/>
      <c r="E345" s="11" t="str">
        <f>IF('CompilationCalcs - Di et al.EOL'!C345=PlasticsUse!$D$93,Conversions!$A$17,IF('CompilationCalcs - Di et al.EOL'!C345=PlasticsUse!$L$93,Conversions!$A$18,Conversions!$A$16))</f>
        <v>Transfer Station</v>
      </c>
      <c r="F345" s="11">
        <f t="shared" si="5"/>
        <v>0</v>
      </c>
      <c r="G345" t="s">
        <v>5</v>
      </c>
      <c r="H345" s="11">
        <f>IFERROR(INDEX(EndOfLife!$L$64:$P$78,MATCH($A345,EndOfLife!$A$64:$A$78,0),MATCH($G345,EndOfLife!$L$63:$P$63,0))*INDEX(PlasticsUse!$B$27:$L$41,MATCH('CompilationCalcs - Di et al.EOL'!$A345,PlasticsUse!$A$27:$A$41,0),MATCH('CompilationCalcs - Di et al.EOL'!$C345,PlasticsUse!$B$26:$L$26,0)),0)</f>
        <v>0</v>
      </c>
    </row>
    <row r="346" spans="1:8" x14ac:dyDescent="0.2">
      <c r="A346" t="s">
        <v>2</v>
      </c>
      <c r="B346" t="s">
        <v>207</v>
      </c>
      <c r="C346" t="s">
        <v>99</v>
      </c>
      <c r="D346" s="11"/>
      <c r="E346" s="11" t="str">
        <f>IF('CompilationCalcs - Di et al.EOL'!C346=PlasticsUse!$D$93,Conversions!$A$17,IF('CompilationCalcs - Di et al.EOL'!C346=PlasticsUse!$L$93,Conversions!$A$18,Conversions!$A$16))</f>
        <v>Transfer Station</v>
      </c>
      <c r="F346" s="11">
        <f t="shared" si="5"/>
        <v>0</v>
      </c>
      <c r="G346" t="s">
        <v>5</v>
      </c>
      <c r="H346" s="11">
        <f>IFERROR(INDEX(EndOfLife!$L$64:$P$78,MATCH($A346,EndOfLife!$A$64:$A$78,0),MATCH($G346,EndOfLife!$L$63:$P$63,0))*INDEX(PlasticsUse!$B$27:$L$41,MATCH('CompilationCalcs - Di et al.EOL'!$A346,PlasticsUse!$A$27:$A$41,0),MATCH('CompilationCalcs - Di et al.EOL'!$C346,PlasticsUse!$B$26:$L$26,0)),0)</f>
        <v>0</v>
      </c>
    </row>
    <row r="347" spans="1:8" x14ac:dyDescent="0.2">
      <c r="A347" t="s">
        <v>2</v>
      </c>
      <c r="B347" t="s">
        <v>207</v>
      </c>
      <c r="C347" t="s">
        <v>69</v>
      </c>
      <c r="D347" s="11"/>
      <c r="E347" s="11" t="str">
        <f>IF('CompilationCalcs - Di et al.EOL'!C347=PlasticsUse!$D$93,Conversions!$A$17,IF('CompilationCalcs - Di et al.EOL'!C347=PlasticsUse!$L$93,Conversions!$A$18,Conversions!$A$16))</f>
        <v>Automotive Shredding Facility</v>
      </c>
      <c r="F347" s="11">
        <f t="shared" ref="F347:F403" si="6">D347</f>
        <v>0</v>
      </c>
      <c r="G347" t="s">
        <v>5</v>
      </c>
      <c r="H347" s="11">
        <f>IFERROR(INDEX(EndOfLife!$L$64:$P$78,MATCH($A347,EndOfLife!$A$64:$A$78,0),MATCH($G347,EndOfLife!$L$63:$P$63,0))*INDEX(PlasticsUse!$B$27:$L$41,MATCH('CompilationCalcs - Di et al.EOL'!$A347,PlasticsUse!$A$27:$A$41,0),MATCH('CompilationCalcs - Di et al.EOL'!$C347,PlasticsUse!$B$26:$L$26,0)),0)</f>
        <v>0</v>
      </c>
    </row>
    <row r="348" spans="1:8" x14ac:dyDescent="0.2">
      <c r="A348" t="s">
        <v>2</v>
      </c>
      <c r="B348" t="s">
        <v>207</v>
      </c>
      <c r="C348" t="s">
        <v>100</v>
      </c>
      <c r="D348" s="11"/>
      <c r="E348" s="11" t="str">
        <f>IF('CompilationCalcs - Di et al.EOL'!C348=PlasticsUse!$D$93,Conversions!$A$17,IF('CompilationCalcs - Di et al.EOL'!C348=PlasticsUse!$L$93,Conversions!$A$18,Conversions!$A$16))</f>
        <v>Transfer Station</v>
      </c>
      <c r="F348" s="11">
        <f t="shared" si="6"/>
        <v>0</v>
      </c>
      <c r="G348" t="s">
        <v>5</v>
      </c>
      <c r="H348" s="11">
        <f>IFERROR(INDEX(EndOfLife!$L$64:$P$78,MATCH($A348,EndOfLife!$A$64:$A$78,0),MATCH($G348,EndOfLife!$L$63:$P$63,0))*INDEX(PlasticsUse!$B$27:$L$41,MATCH('CompilationCalcs - Di et al.EOL'!$A348,PlasticsUse!$A$27:$A$41,0),MATCH('CompilationCalcs - Di et al.EOL'!$C348,PlasticsUse!$B$26:$L$26,0)),0)</f>
        <v>0</v>
      </c>
    </row>
    <row r="349" spans="1:8" x14ac:dyDescent="0.2">
      <c r="A349" t="s">
        <v>2</v>
      </c>
      <c r="B349" t="s">
        <v>207</v>
      </c>
      <c r="C349" t="s">
        <v>39</v>
      </c>
      <c r="D349" s="11"/>
      <c r="E349" s="11" t="str">
        <f>IF('CompilationCalcs - Di et al.EOL'!C349=PlasticsUse!$D$93,Conversions!$A$17,IF('CompilationCalcs - Di et al.EOL'!C349=PlasticsUse!$L$93,Conversions!$A$18,Conversions!$A$16))</f>
        <v>Transfer Station</v>
      </c>
      <c r="F349" s="11">
        <f t="shared" si="6"/>
        <v>0</v>
      </c>
      <c r="G349" t="s">
        <v>5</v>
      </c>
      <c r="H349" s="11">
        <f>IFERROR(INDEX(EndOfLife!$L$64:$P$78,MATCH($A349,EndOfLife!$A$64:$A$78,0),MATCH($G349,EndOfLife!$L$63:$P$63,0))*INDEX(PlasticsUse!$B$27:$L$41,MATCH('CompilationCalcs - Di et al.EOL'!$A349,PlasticsUse!$A$27:$A$41,0),MATCH('CompilationCalcs - Di et al.EOL'!$C349,PlasticsUse!$B$26:$L$26,0)),0)</f>
        <v>0.46866886757062309</v>
      </c>
    </row>
    <row r="350" spans="1:8" x14ac:dyDescent="0.2">
      <c r="A350" t="s">
        <v>2</v>
      </c>
      <c r="B350" t="s">
        <v>207</v>
      </c>
      <c r="C350" t="s">
        <v>63</v>
      </c>
      <c r="D350" s="11"/>
      <c r="E350" s="11" t="str">
        <f>IF('CompilationCalcs - Di et al.EOL'!C350=PlasticsUse!$D$93,Conversions!$A$17,IF('CompilationCalcs - Di et al.EOL'!C350=PlasticsUse!$L$93,Conversions!$A$18,Conversions!$A$16))</f>
        <v>Transfer Station</v>
      </c>
      <c r="F350" s="11">
        <f t="shared" si="6"/>
        <v>0</v>
      </c>
      <c r="G350" t="s">
        <v>5</v>
      </c>
      <c r="H350" s="11">
        <f>IFERROR(INDEX(EndOfLife!$L$64:$P$78,MATCH($A350,EndOfLife!$A$64:$A$78,0),MATCH($G350,EndOfLife!$L$63:$P$63,0))*INDEX(PlasticsUse!$B$27:$L$41,MATCH('CompilationCalcs - Di et al.EOL'!$A350,PlasticsUse!$A$27:$A$41,0),MATCH('CompilationCalcs - Di et al.EOL'!$C350,PlasticsUse!$B$26:$L$26,0)),0)</f>
        <v>0</v>
      </c>
    </row>
    <row r="351" spans="1:8" x14ac:dyDescent="0.2">
      <c r="A351" t="s">
        <v>2</v>
      </c>
      <c r="B351" t="s">
        <v>207</v>
      </c>
      <c r="C351" t="s">
        <v>92</v>
      </c>
      <c r="D351" s="11"/>
      <c r="E351" s="11" t="str">
        <f>IF('CompilationCalcs - Di et al.EOL'!C351=PlasticsUse!$D$93,Conversions!$A$17,IF('CompilationCalcs - Di et al.EOL'!C351=PlasticsUse!$L$93,Conversions!$A$18,Conversions!$A$16))</f>
        <v>Transfer Station</v>
      </c>
      <c r="F351" s="11">
        <f t="shared" si="6"/>
        <v>0</v>
      </c>
      <c r="G351" t="s">
        <v>5</v>
      </c>
      <c r="H351" s="11">
        <f>IFERROR(INDEX(EndOfLife!$L$64:$P$78,MATCH($A351,EndOfLife!$A$64:$A$78,0),MATCH($G351,EndOfLife!$L$63:$P$63,0))*INDEX(PlasticsUse!$B$27:$L$41,MATCH('CompilationCalcs - Di et al.EOL'!$A351,PlasticsUse!$A$27:$A$41,0),MATCH('CompilationCalcs - Di et al.EOL'!$C351,PlasticsUse!$B$26:$L$26,0)),0)</f>
        <v>0</v>
      </c>
    </row>
    <row r="352" spans="1:8" x14ac:dyDescent="0.2">
      <c r="A352" t="s">
        <v>2</v>
      </c>
      <c r="B352" t="s">
        <v>207</v>
      </c>
      <c r="C352" t="s">
        <v>103</v>
      </c>
      <c r="D352" s="11"/>
      <c r="E352" s="11" t="str">
        <f>IF('CompilationCalcs - Di et al.EOL'!C352=PlasticsUse!$D$93,Conversions!$A$17,IF('CompilationCalcs - Di et al.EOL'!C352=PlasticsUse!$L$93,Conversions!$A$18,Conversions!$A$16))</f>
        <v>Transfer Station</v>
      </c>
      <c r="F352" s="11">
        <f t="shared" si="6"/>
        <v>0</v>
      </c>
      <c r="G352" t="s">
        <v>5</v>
      </c>
      <c r="H352" s="11">
        <f>IFERROR(INDEX(EndOfLife!$L$64:$P$78,MATCH($A352,EndOfLife!$A$64:$A$78,0),MATCH($G352,EndOfLife!$L$63:$P$63,0))*INDEX(PlasticsUse!$B$27:$L$41,MATCH('CompilationCalcs - Di et al.EOL'!$A352,PlasticsUse!$A$27:$A$41,0),MATCH('CompilationCalcs - Di et al.EOL'!$C352,PlasticsUse!$B$26:$L$26,0)),0)</f>
        <v>0</v>
      </c>
    </row>
    <row r="353" spans="1:8" x14ac:dyDescent="0.2">
      <c r="A353" t="s">
        <v>2</v>
      </c>
      <c r="B353" t="s">
        <v>207</v>
      </c>
      <c r="C353" t="s">
        <v>86</v>
      </c>
      <c r="D353" s="11"/>
      <c r="E353" s="11" t="str">
        <f>IF('CompilationCalcs - Di et al.EOL'!C353=PlasticsUse!$D$93,Conversions!$A$17,IF('CompilationCalcs - Di et al.EOL'!C353=PlasticsUse!$L$93,Conversions!$A$18,Conversions!$A$16))</f>
        <v>Transfer Station</v>
      </c>
      <c r="F353" s="11">
        <f t="shared" si="6"/>
        <v>0</v>
      </c>
      <c r="G353" t="s">
        <v>5</v>
      </c>
      <c r="H353" s="11">
        <f>IFERROR(INDEX(EndOfLife!$L$64:$P$78,MATCH($A353,EndOfLife!$A$64:$A$78,0),MATCH($G353,EndOfLife!$L$63:$P$63,0))*INDEX(PlasticsUse!$B$27:$L$41,MATCH('CompilationCalcs - Di et al.EOL'!$A353,PlasticsUse!$A$27:$A$41,0),MATCH('CompilationCalcs - Di et al.EOL'!$C353,PlasticsUse!$B$26:$L$26,0)),0)</f>
        <v>0.11643583601317603</v>
      </c>
    </row>
    <row r="354" spans="1:8" x14ac:dyDescent="0.2">
      <c r="A354" t="s">
        <v>2</v>
      </c>
      <c r="B354" t="s">
        <v>207</v>
      </c>
      <c r="C354" t="s">
        <v>18</v>
      </c>
      <c r="D354" s="11"/>
      <c r="E354" s="11" t="str">
        <f>IF('CompilationCalcs - Di et al.EOL'!C354=PlasticsUse!$D$93,Conversions!$A$17,IF('CompilationCalcs - Di et al.EOL'!C354=PlasticsUse!$L$93,Conversions!$A$18,Conversions!$A$16))</f>
        <v>N/A</v>
      </c>
      <c r="F354" s="11">
        <f t="shared" si="6"/>
        <v>0</v>
      </c>
      <c r="G354" t="s">
        <v>287</v>
      </c>
      <c r="H354" s="11">
        <f>IFERROR(INDEX(EndOfLife!$L$64:$P$78,MATCH($A354,EndOfLife!$A$64:$A$78,0),MATCH($G354,EndOfLife!$L$63:$P$63,0))*INDEX(PlasticsUse!$B$27:$L$41,MATCH('CompilationCalcs - Di et al.EOL'!$A354,PlasticsUse!$A$27:$A$41,0),MATCH('CompilationCalcs - Di et al.EOL'!$C354,PlasticsUse!$B$26:$L$26,0)),0)</f>
        <v>0</v>
      </c>
    </row>
    <row r="355" spans="1:8" x14ac:dyDescent="0.2">
      <c r="A355" t="s">
        <v>2</v>
      </c>
      <c r="B355" t="s">
        <v>207</v>
      </c>
      <c r="C355" t="s">
        <v>99</v>
      </c>
      <c r="D355" s="11"/>
      <c r="E355" s="11" t="str">
        <f>IF('CompilationCalcs - Di et al.EOL'!C355=PlasticsUse!$D$93,Conversions!$A$17,IF('CompilationCalcs - Di et al.EOL'!C355=PlasticsUse!$L$93,Conversions!$A$18,Conversions!$A$16))</f>
        <v>Transfer Station</v>
      </c>
      <c r="F355" s="11">
        <f t="shared" si="6"/>
        <v>0</v>
      </c>
      <c r="G355" t="s">
        <v>6</v>
      </c>
      <c r="H355" s="11">
        <f>IFERROR(INDEX(EndOfLife!$L$64:$P$78,MATCH($A355,EndOfLife!$A$64:$A$78,0),MATCH($G355,EndOfLife!$L$63:$P$63,0))*INDEX(PlasticsUse!$B$27:$L$41,MATCH('CompilationCalcs - Di et al.EOL'!$A355,PlasticsUse!$A$27:$A$41,0),MATCH('CompilationCalcs - Di et al.EOL'!$C355,PlasticsUse!$B$26:$L$26,0)),0)</f>
        <v>0</v>
      </c>
    </row>
    <row r="356" spans="1:8" x14ac:dyDescent="0.2">
      <c r="A356" t="s">
        <v>2</v>
      </c>
      <c r="B356" t="s">
        <v>207</v>
      </c>
      <c r="C356" t="s">
        <v>69</v>
      </c>
      <c r="D356" s="11"/>
      <c r="E356" s="11" t="str">
        <f>IF('CompilationCalcs - Di et al.EOL'!C356=PlasticsUse!$D$93,Conversions!$A$17,IF('CompilationCalcs - Di et al.EOL'!C356=PlasticsUse!$L$93,Conversions!$A$18,Conversions!$A$16))</f>
        <v>Automotive Shredding Facility</v>
      </c>
      <c r="F356" s="11">
        <f t="shared" si="6"/>
        <v>0</v>
      </c>
      <c r="G356" t="s">
        <v>6</v>
      </c>
      <c r="H356" s="11">
        <f>IFERROR(INDEX(EndOfLife!$L$64:$P$78,MATCH($A356,EndOfLife!$A$64:$A$78,0),MATCH($G356,EndOfLife!$L$63:$P$63,0))*INDEX(PlasticsUse!$B$27:$L$41,MATCH('CompilationCalcs - Di et al.EOL'!$A356,PlasticsUse!$A$27:$A$41,0),MATCH('CompilationCalcs - Di et al.EOL'!$C356,PlasticsUse!$B$26:$L$26,0)),0)</f>
        <v>0</v>
      </c>
    </row>
    <row r="357" spans="1:8" x14ac:dyDescent="0.2">
      <c r="A357" t="s">
        <v>2</v>
      </c>
      <c r="B357" t="s">
        <v>207</v>
      </c>
      <c r="C357" t="s">
        <v>100</v>
      </c>
      <c r="D357" s="11"/>
      <c r="E357" s="11" t="str">
        <f>IF('CompilationCalcs - Di et al.EOL'!C357=PlasticsUse!$D$93,Conversions!$A$17,IF('CompilationCalcs - Di et al.EOL'!C357=PlasticsUse!$L$93,Conversions!$A$18,Conversions!$A$16))</f>
        <v>Transfer Station</v>
      </c>
      <c r="F357" s="11">
        <f t="shared" si="6"/>
        <v>0</v>
      </c>
      <c r="G357" t="s">
        <v>6</v>
      </c>
      <c r="H357" s="11">
        <f>IFERROR(INDEX(EndOfLife!$L$64:$P$78,MATCH($A357,EndOfLife!$A$64:$A$78,0),MATCH($G357,EndOfLife!$L$63:$P$63,0))*INDEX(PlasticsUse!$B$27:$L$41,MATCH('CompilationCalcs - Di et al.EOL'!$A357,PlasticsUse!$A$27:$A$41,0),MATCH('CompilationCalcs - Di et al.EOL'!$C357,PlasticsUse!$B$26:$L$26,0)),0)</f>
        <v>0</v>
      </c>
    </row>
    <row r="358" spans="1:8" x14ac:dyDescent="0.2">
      <c r="A358" t="s">
        <v>2</v>
      </c>
      <c r="B358" t="s">
        <v>207</v>
      </c>
      <c r="C358" t="s">
        <v>39</v>
      </c>
      <c r="D358" s="11"/>
      <c r="E358" s="11" t="str">
        <f>IF('CompilationCalcs - Di et al.EOL'!C358=PlasticsUse!$D$93,Conversions!$A$17,IF('CompilationCalcs - Di et al.EOL'!C358=PlasticsUse!$L$93,Conversions!$A$18,Conversions!$A$16))</f>
        <v>Transfer Station</v>
      </c>
      <c r="F358" s="11">
        <f t="shared" si="6"/>
        <v>0</v>
      </c>
      <c r="G358" t="s">
        <v>6</v>
      </c>
      <c r="H358" s="11">
        <f>IFERROR(INDEX(EndOfLife!$L$64:$P$78,MATCH($A358,EndOfLife!$A$64:$A$78,0),MATCH($G358,EndOfLife!$L$63:$P$63,0))*INDEX(PlasticsUse!$B$27:$L$41,MATCH('CompilationCalcs - Di et al.EOL'!$A358,PlasticsUse!$A$27:$A$41,0),MATCH('CompilationCalcs - Di et al.EOL'!$C358,PlasticsUse!$B$26:$L$26,0)),0)</f>
        <v>2.0231972945126198</v>
      </c>
    </row>
    <row r="359" spans="1:8" x14ac:dyDescent="0.2">
      <c r="A359" t="s">
        <v>2</v>
      </c>
      <c r="B359" t="s">
        <v>207</v>
      </c>
      <c r="C359" t="s">
        <v>68</v>
      </c>
      <c r="D359" s="11"/>
      <c r="E359" s="11" t="str">
        <f>IF('CompilationCalcs - Di et al.EOL'!C359=PlasticsUse!$D$93,Conversions!$A$17,IF('CompilationCalcs - Di et al.EOL'!C359=PlasticsUse!$L$93,Conversions!$A$18,Conversions!$A$16))</f>
        <v>Transfer Station</v>
      </c>
      <c r="F359" s="11">
        <f t="shared" si="6"/>
        <v>0</v>
      </c>
      <c r="G359" t="s">
        <v>6</v>
      </c>
      <c r="H359" s="11">
        <f>IFERROR(INDEX(EndOfLife!$L$64:$P$78,MATCH($A359,EndOfLife!$A$64:$A$78,0),MATCH($G359,EndOfLife!$L$63:$P$63,0))*INDEX(PlasticsUse!$B$27:$L$41,MATCH('CompilationCalcs - Di et al.EOL'!$A359,PlasticsUse!$A$27:$A$41,0),MATCH('CompilationCalcs - Di et al.EOL'!$C359,PlasticsUse!$B$26:$L$26,0)),0)</f>
        <v>0</v>
      </c>
    </row>
    <row r="360" spans="1:8" x14ac:dyDescent="0.2">
      <c r="A360" t="s">
        <v>2</v>
      </c>
      <c r="B360" t="s">
        <v>207</v>
      </c>
      <c r="C360" t="s">
        <v>63</v>
      </c>
      <c r="D360" s="11"/>
      <c r="E360" s="11" t="str">
        <f>IF('CompilationCalcs - Di et al.EOL'!C360=PlasticsUse!$D$93,Conversions!$A$17,IF('CompilationCalcs - Di et al.EOL'!C360=PlasticsUse!$L$93,Conversions!$A$18,Conversions!$A$16))</f>
        <v>Transfer Station</v>
      </c>
      <c r="F360" s="11">
        <f t="shared" si="6"/>
        <v>0</v>
      </c>
      <c r="G360" t="s">
        <v>6</v>
      </c>
      <c r="H360" s="11">
        <f>IFERROR(INDEX(EndOfLife!$L$64:$P$78,MATCH($A360,EndOfLife!$A$64:$A$78,0),MATCH($G360,EndOfLife!$L$63:$P$63,0))*INDEX(PlasticsUse!$B$27:$L$41,MATCH('CompilationCalcs - Di et al.EOL'!$A360,PlasticsUse!$A$27:$A$41,0),MATCH('CompilationCalcs - Di et al.EOL'!$C360,PlasticsUse!$B$26:$L$26,0)),0)</f>
        <v>0</v>
      </c>
    </row>
    <row r="361" spans="1:8" x14ac:dyDescent="0.2">
      <c r="A361" t="s">
        <v>2</v>
      </c>
      <c r="B361" t="s">
        <v>207</v>
      </c>
      <c r="C361" t="s">
        <v>92</v>
      </c>
      <c r="D361" s="11"/>
      <c r="E361" s="11" t="str">
        <f>IF('CompilationCalcs - Di et al.EOL'!C361=PlasticsUse!$D$93,Conversions!$A$17,IF('CompilationCalcs - Di et al.EOL'!C361=PlasticsUse!$L$93,Conversions!$A$18,Conversions!$A$16))</f>
        <v>Transfer Station</v>
      </c>
      <c r="F361" s="11">
        <f t="shared" si="6"/>
        <v>0</v>
      </c>
      <c r="G361" t="s">
        <v>6</v>
      </c>
      <c r="H361" s="11">
        <f>IFERROR(INDEX(EndOfLife!$L$64:$P$78,MATCH($A361,EndOfLife!$A$64:$A$78,0),MATCH($G361,EndOfLife!$L$63:$P$63,0))*INDEX(PlasticsUse!$B$27:$L$41,MATCH('CompilationCalcs - Di et al.EOL'!$A361,PlasticsUse!$A$27:$A$41,0),MATCH('CompilationCalcs - Di et al.EOL'!$C361,PlasticsUse!$B$26:$L$26,0)),0)</f>
        <v>0</v>
      </c>
    </row>
    <row r="362" spans="1:8" x14ac:dyDescent="0.2">
      <c r="A362" t="s">
        <v>2</v>
      </c>
      <c r="B362" t="s">
        <v>207</v>
      </c>
      <c r="C362" t="s">
        <v>103</v>
      </c>
      <c r="D362" s="11"/>
      <c r="E362" s="11" t="str">
        <f>IF('CompilationCalcs - Di et al.EOL'!C362=PlasticsUse!$D$93,Conversions!$A$17,IF('CompilationCalcs - Di et al.EOL'!C362=PlasticsUse!$L$93,Conversions!$A$18,Conversions!$A$16))</f>
        <v>Transfer Station</v>
      </c>
      <c r="F362" s="11">
        <f t="shared" si="6"/>
        <v>0</v>
      </c>
      <c r="G362" t="s">
        <v>6</v>
      </c>
      <c r="H362" s="11">
        <f>IFERROR(INDEX(EndOfLife!$L$64:$P$78,MATCH($A362,EndOfLife!$A$64:$A$78,0),MATCH($G362,EndOfLife!$L$63:$P$63,0))*INDEX(PlasticsUse!$B$27:$L$41,MATCH('CompilationCalcs - Di et al.EOL'!$A362,PlasticsUse!$A$27:$A$41,0),MATCH('CompilationCalcs - Di et al.EOL'!$C362,PlasticsUse!$B$26:$L$26,0)),0)</f>
        <v>0</v>
      </c>
    </row>
    <row r="363" spans="1:8" x14ac:dyDescent="0.2">
      <c r="A363" t="s">
        <v>2</v>
      </c>
      <c r="B363" t="s">
        <v>207</v>
      </c>
      <c r="C363" t="s">
        <v>86</v>
      </c>
      <c r="D363" s="11"/>
      <c r="E363" s="11" t="str">
        <f>IF('CompilationCalcs - Di et al.EOL'!C363=PlasticsUse!$D$93,Conversions!$A$17,IF('CompilationCalcs - Di et al.EOL'!C363=PlasticsUse!$L$93,Conversions!$A$18,Conversions!$A$16))</f>
        <v>Transfer Station</v>
      </c>
      <c r="F363" s="11">
        <f t="shared" si="6"/>
        <v>0</v>
      </c>
      <c r="G363" t="s">
        <v>6</v>
      </c>
      <c r="H363" s="11">
        <f>IFERROR(INDEX(EndOfLife!$L$64:$P$78,MATCH($A363,EndOfLife!$A$64:$A$78,0),MATCH($G363,EndOfLife!$L$63:$P$63,0))*INDEX(PlasticsUse!$B$27:$L$41,MATCH('CompilationCalcs - Di et al.EOL'!$A363,PlasticsUse!$A$27:$A$41,0),MATCH('CompilationCalcs - Di et al.EOL'!$C363,PlasticsUse!$B$26:$L$26,0)),0)</f>
        <v>0.50264202447941486</v>
      </c>
    </row>
    <row r="364" spans="1:8" x14ac:dyDescent="0.2">
      <c r="A364" t="s">
        <v>2</v>
      </c>
      <c r="B364" t="s">
        <v>207</v>
      </c>
      <c r="C364" t="s">
        <v>18</v>
      </c>
      <c r="D364" s="11"/>
      <c r="E364" s="11" t="str">
        <f>IF('CompilationCalcs - Di et al.EOL'!C364=PlasticsUse!$D$93,Conversions!$A$17,IF('CompilationCalcs - Di et al.EOL'!C364=PlasticsUse!$L$93,Conversions!$A$18,Conversions!$A$16))</f>
        <v>N/A</v>
      </c>
      <c r="F364" s="11">
        <f t="shared" si="6"/>
        <v>0</v>
      </c>
      <c r="G364" t="s">
        <v>287</v>
      </c>
      <c r="H364" s="11">
        <f>IFERROR(INDEX(EndOfLife!$L$64:$P$78,MATCH($A364,EndOfLife!$A$64:$A$78,0),MATCH($G364,EndOfLife!$L$63:$P$63,0))*INDEX(PlasticsUse!$B$27:$L$41,MATCH('CompilationCalcs - Di et al.EOL'!$A364,PlasticsUse!$A$27:$A$41,0),MATCH('CompilationCalcs - Di et al.EOL'!$C364,PlasticsUse!$B$26:$L$26,0)),0)</f>
        <v>0</v>
      </c>
    </row>
    <row r="365" spans="1:8" ht="17" x14ac:dyDescent="0.2">
      <c r="A365" t="s">
        <v>2</v>
      </c>
      <c r="B365" t="s">
        <v>207</v>
      </c>
      <c r="E365" s="11" t="s">
        <v>191</v>
      </c>
      <c r="F365" s="11">
        <f t="shared" si="6"/>
        <v>0</v>
      </c>
      <c r="G365" s="28" t="s">
        <v>360</v>
      </c>
      <c r="H365" s="11">
        <f>INDEX(EndOfLife!$T$64:$X$78,MATCH('CompilationCalcs - Di et al.EOL'!$A365,EndOfLife!$S$64:$S$78,0),MATCH('CompilationCalcs - Di et al.EOL'!$G365,EndOfLife!$T$63:$X$63,0))</f>
        <v>0.3996841989269615</v>
      </c>
    </row>
    <row r="366" spans="1:8" ht="17" x14ac:dyDescent="0.2">
      <c r="A366" t="s">
        <v>2</v>
      </c>
      <c r="B366" t="s">
        <v>207</v>
      </c>
      <c r="E366" s="11" t="s">
        <v>191</v>
      </c>
      <c r="F366" s="11">
        <f t="shared" si="6"/>
        <v>0</v>
      </c>
      <c r="G366" s="28" t="s">
        <v>361</v>
      </c>
      <c r="H366" s="11">
        <f>INDEX(EndOfLife!$T$64:$X$78,MATCH('CompilationCalcs - Di et al.EOL'!$A366,EndOfLife!$S$64:$S$78,0),MATCH('CompilationCalcs - Di et al.EOL'!$G366,EndOfLife!$T$63:$X$63,0))</f>
        <v>0.17882777560237251</v>
      </c>
    </row>
    <row r="367" spans="1:8" ht="17" x14ac:dyDescent="0.2">
      <c r="A367" t="s">
        <v>2</v>
      </c>
      <c r="B367" t="s">
        <v>207</v>
      </c>
      <c r="E367" s="11" t="s">
        <v>360</v>
      </c>
      <c r="F367" s="11">
        <f t="shared" si="6"/>
        <v>0</v>
      </c>
      <c r="G367" s="28" t="s">
        <v>192</v>
      </c>
      <c r="H367" s="11">
        <f>INDEX(EndOfLife!$T$64:$X$78,MATCH('CompilationCalcs - Di et al.EOL'!$A367,EndOfLife!$S$64:$S$78,0),MATCH('CompilationCalcs - Di et al.EOL'!$G367,EndOfLife!$T$63:$X$63,0))</f>
        <v>0.3996841989269615</v>
      </c>
    </row>
    <row r="368" spans="1:8" ht="17" x14ac:dyDescent="0.2">
      <c r="A368" t="s">
        <v>2</v>
      </c>
      <c r="B368" t="s">
        <v>207</v>
      </c>
      <c r="E368" s="11" t="s">
        <v>191</v>
      </c>
      <c r="F368" s="11">
        <f t="shared" si="6"/>
        <v>0</v>
      </c>
      <c r="G368" s="28" t="s">
        <v>193</v>
      </c>
      <c r="H368" s="11">
        <f>INDEX(EndOfLife!$T$64:$X$78,MATCH('CompilationCalcs - Di et al.EOL'!$A368,EndOfLife!$S$64:$S$78,0),MATCH('CompilationCalcs - Di et al.EOL'!$G368,EndOfLife!$T$63:$X$63,0))</f>
        <v>0.12443776090303338</v>
      </c>
    </row>
    <row r="369" spans="1:8" x14ac:dyDescent="0.2">
      <c r="A369" t="s">
        <v>30</v>
      </c>
      <c r="B369" t="s">
        <v>206</v>
      </c>
      <c r="C369" t="s">
        <v>38</v>
      </c>
      <c r="D369" s="11">
        <f>INDEX(PlasticsUse!$B$48:$L$64,MATCH('CompilationCalcs - Di et al.EOL'!$A369,PlasticsUse!$A$48:$A$64,0),MATCH('CompilationCalcs - Di et al.EOL'!$C369,PlasticsUse!$B$47:$L$47,0))</f>
        <v>0</v>
      </c>
      <c r="E369" s="11" t="str">
        <f>IF('CompilationCalcs - Di et al.EOL'!C369=PlasticsUse!$D$93,Conversions!$A$17,IF('CompilationCalcs - Di et al.EOL'!C369=PlasticsUse!$L$93,Conversions!$A$18,Conversions!$A$16))</f>
        <v>Transfer Station</v>
      </c>
      <c r="F369" s="11">
        <f>INDEX('In-Use Stocks'!$M$81:$V$97,MATCH('CompilationCalcs - Di et al.EOL'!$A369,'In-Use Stocks'!$L$81:$L$97,0),MATCH('CompilationCalcs - Di et al.EOL'!$C369,'In-Use Stocks'!$M$80:$V$80,0))</f>
        <v>2.4542096411624699E-2</v>
      </c>
      <c r="G369" t="s">
        <v>191</v>
      </c>
      <c r="H369" s="11">
        <f>IFERROR(INDEX(EndOfLife!$L$64:$P$78,MATCH($A369,EndOfLife!$A$64:$A$78,0),MATCH($G369,EndOfLife!$L$63:$P$63,0))*INDEX(PlasticsUse!$B$27:$L$41,MATCH('CompilationCalcs - Di et al.EOL'!$A369,PlasticsUse!$A$27:$A$41,0),MATCH('CompilationCalcs - Di et al.EOL'!$C369,PlasticsUse!$B$26:$L$26,0)),0)</f>
        <v>0</v>
      </c>
    </row>
    <row r="370" spans="1:8" x14ac:dyDescent="0.2">
      <c r="A370" t="s">
        <v>30</v>
      </c>
      <c r="B370" t="s">
        <v>206</v>
      </c>
      <c r="C370" t="s">
        <v>99</v>
      </c>
      <c r="D370" s="11">
        <f>INDEX(PlasticsUse!$B$48:$L$64,MATCH('CompilationCalcs - Di et al.EOL'!$A370,PlasticsUse!$A$48:$A$64,0),MATCH('CompilationCalcs - Di et al.EOL'!$C370,PlasticsUse!$B$47:$L$47,0))</f>
        <v>0.25500000000000006</v>
      </c>
      <c r="E370" s="11" t="str">
        <f>IF('CompilationCalcs - Di et al.EOL'!C370=PlasticsUse!$D$93,Conversions!$A$17,IF('CompilationCalcs - Di et al.EOL'!C370=PlasticsUse!$L$93,Conversions!$A$18,Conversions!$A$16))</f>
        <v>Transfer Station</v>
      </c>
      <c r="F370" s="11">
        <f>INDEX('In-Use Stocks'!$M$81:$V$97,MATCH('CompilationCalcs - Di et al.EOL'!$A370,'In-Use Stocks'!$L$81:$L$97,0),MATCH('CompilationCalcs - Di et al.EOL'!$C370,'In-Use Stocks'!$M$80:$V$80,0))</f>
        <v>2.518054557744746E-2</v>
      </c>
      <c r="G370" t="s">
        <v>191</v>
      </c>
      <c r="H370" s="11">
        <f>IFERROR(INDEX(EndOfLife!$L$64:$P$78,MATCH($A370,EndOfLife!$A$64:$A$78,0),MATCH($G370,EndOfLife!$L$63:$P$63,0))*INDEX(PlasticsUse!$B$27:$L$41,MATCH('CompilationCalcs - Di et al.EOL'!$A370,PlasticsUse!$A$27:$A$41,0),MATCH('CompilationCalcs - Di et al.EOL'!$C370,PlasticsUse!$B$26:$L$26,0)),0)</f>
        <v>0</v>
      </c>
    </row>
    <row r="371" spans="1:8" x14ac:dyDescent="0.2">
      <c r="A371" t="s">
        <v>30</v>
      </c>
      <c r="B371" t="s">
        <v>206</v>
      </c>
      <c r="C371" t="s">
        <v>69</v>
      </c>
      <c r="D371" s="11">
        <f>INDEX(PlasticsUse!$B$48:$L$64,MATCH('CompilationCalcs - Di et al.EOL'!$A371,PlasticsUse!$A$48:$A$64,0),MATCH('CompilationCalcs - Di et al.EOL'!$C371,PlasticsUse!$B$47:$L$47,0))</f>
        <v>0</v>
      </c>
      <c r="E371" s="11" t="str">
        <f>IF('CompilationCalcs - Di et al.EOL'!C371=PlasticsUse!$D$93,Conversions!$A$17,IF('CompilationCalcs - Di et al.EOL'!C371=PlasticsUse!$L$93,Conversions!$A$18,Conversions!$A$16))</f>
        <v>Automotive Shredding Facility</v>
      </c>
      <c r="F371" s="11">
        <f>INDEX('In-Use Stocks'!$M$81:$V$97,MATCH('CompilationCalcs - Di et al.EOL'!$A371,'In-Use Stocks'!$L$81:$L$97,0),MATCH('CompilationCalcs - Di et al.EOL'!$C371,'In-Use Stocks'!$M$80:$V$80,0))</f>
        <v>0.17165519030958951</v>
      </c>
      <c r="G371" t="s">
        <v>191</v>
      </c>
      <c r="H371" s="11">
        <f>IFERROR(INDEX(EndOfLife!$L$64:$P$78,MATCH($A371,EndOfLife!$A$64:$A$78,0),MATCH($G371,EndOfLife!$L$63:$P$63,0))*INDEX(PlasticsUse!$B$27:$L$41,MATCH('CompilationCalcs - Di et al.EOL'!$A371,PlasticsUse!$A$27:$A$41,0),MATCH('CompilationCalcs - Di et al.EOL'!$C371,PlasticsUse!$B$26:$L$26,0)),0)</f>
        <v>0</v>
      </c>
    </row>
    <row r="372" spans="1:8" x14ac:dyDescent="0.2">
      <c r="A372" t="s">
        <v>30</v>
      </c>
      <c r="B372" t="s">
        <v>206</v>
      </c>
      <c r="C372" t="s">
        <v>100</v>
      </c>
      <c r="D372" s="11">
        <f>INDEX(PlasticsUse!$B$48:$L$64,MATCH('CompilationCalcs - Di et al.EOL'!$A372,PlasticsUse!$A$48:$A$64,0),MATCH('CompilationCalcs - Di et al.EOL'!$C372,PlasticsUse!$B$47:$L$47,0))</f>
        <v>0.12750000000000003</v>
      </c>
      <c r="E372" s="11" t="str">
        <f>IF('CompilationCalcs - Di et al.EOL'!C372=PlasticsUse!$D$93,Conversions!$A$17,IF('CompilationCalcs - Di et al.EOL'!C372=PlasticsUse!$L$93,Conversions!$A$18,Conversions!$A$16))</f>
        <v>Transfer Station</v>
      </c>
      <c r="F372" s="11">
        <f>INDEX('In-Use Stocks'!$M$81:$V$97,MATCH('CompilationCalcs - Di et al.EOL'!$A372,'In-Use Stocks'!$L$81:$L$97,0),MATCH('CompilationCalcs - Di et al.EOL'!$C372,'In-Use Stocks'!$M$80:$V$80,0))</f>
        <v>0</v>
      </c>
      <c r="G372" t="s">
        <v>191</v>
      </c>
      <c r="H372" s="11">
        <f>IFERROR(INDEX(EndOfLife!$L$64:$P$78,MATCH($A372,EndOfLife!$A$64:$A$78,0),MATCH($G372,EndOfLife!$L$63:$P$63,0))*INDEX(PlasticsUse!$B$27:$L$41,MATCH('CompilationCalcs - Di et al.EOL'!$A372,PlasticsUse!$A$27:$A$41,0),MATCH('CompilationCalcs - Di et al.EOL'!$C372,PlasticsUse!$B$26:$L$26,0)),0)</f>
        <v>0</v>
      </c>
    </row>
    <row r="373" spans="1:8" x14ac:dyDescent="0.2">
      <c r="A373" t="s">
        <v>30</v>
      </c>
      <c r="B373" t="s">
        <v>206</v>
      </c>
      <c r="C373" t="s">
        <v>39</v>
      </c>
      <c r="D373" s="11">
        <f>INDEX(PlasticsUse!$B$48:$L$64,MATCH('CompilationCalcs - Di et al.EOL'!$A373,PlasticsUse!$A$48:$A$64,0),MATCH('CompilationCalcs - Di et al.EOL'!$C373,PlasticsUse!$B$47:$L$47,0))</f>
        <v>0</v>
      </c>
      <c r="E373" s="11" t="str">
        <f>IF('CompilationCalcs - Di et al.EOL'!C373=PlasticsUse!$D$93,Conversions!$A$17,IF('CompilationCalcs - Di et al.EOL'!C373=PlasticsUse!$L$93,Conversions!$A$18,Conversions!$A$16))</f>
        <v>Transfer Station</v>
      </c>
      <c r="F373" s="11">
        <f>INDEX('In-Use Stocks'!$M$81:$V$97,MATCH('CompilationCalcs - Di et al.EOL'!$A373,'In-Use Stocks'!$L$81:$L$97,0),MATCH('CompilationCalcs - Di et al.EOL'!$C373,'In-Use Stocks'!$M$80:$V$80,0))</f>
        <v>0</v>
      </c>
      <c r="G373" t="s">
        <v>191</v>
      </c>
      <c r="H373" s="11">
        <f>IFERROR(INDEX(EndOfLife!$L$64:$P$78,MATCH($A373,EndOfLife!$A$64:$A$78,0),MATCH($G373,EndOfLife!$L$63:$P$63,0))*INDEX(PlasticsUse!$B$27:$L$41,MATCH('CompilationCalcs - Di et al.EOL'!$A373,PlasticsUse!$A$27:$A$41,0),MATCH('CompilationCalcs - Di et al.EOL'!$C373,PlasticsUse!$B$26:$L$26,0)),0)</f>
        <v>0</v>
      </c>
    </row>
    <row r="374" spans="1:8" x14ac:dyDescent="0.2">
      <c r="A374" t="s">
        <v>30</v>
      </c>
      <c r="B374" t="s">
        <v>206</v>
      </c>
      <c r="C374" t="s">
        <v>68</v>
      </c>
      <c r="D374" s="11">
        <f>INDEX(PlasticsUse!$B$48:$L$64,MATCH('CompilationCalcs - Di et al.EOL'!$A374,PlasticsUse!$A$48:$A$64,0),MATCH('CompilationCalcs - Di et al.EOL'!$C374,PlasticsUse!$B$47:$L$47,0))</f>
        <v>0</v>
      </c>
      <c r="E374" s="11" t="str">
        <f>IF('CompilationCalcs - Di et al.EOL'!C374=PlasticsUse!$D$93,Conversions!$A$17,IF('CompilationCalcs - Di et al.EOL'!C374=PlasticsUse!$L$93,Conversions!$A$18,Conversions!$A$16))</f>
        <v>Transfer Station</v>
      </c>
      <c r="F374" s="11">
        <f>INDEX('In-Use Stocks'!$M$81:$V$97,MATCH('CompilationCalcs - Di et al.EOL'!$A374,'In-Use Stocks'!$L$81:$L$97,0),MATCH('CompilationCalcs - Di et al.EOL'!$C374,'In-Use Stocks'!$M$80:$V$80,0))</f>
        <v>0.56541799086020339</v>
      </c>
      <c r="G374" t="s">
        <v>333</v>
      </c>
      <c r="H374" s="11">
        <f>IFERROR(INDEX(EndOfLife!$L$64:$P$78,MATCH($A374,EndOfLife!$A$64:$A$78,0),MATCH($G374,EndOfLife!$L$63:$P$63,0))*INDEX(PlasticsUse!$B$27:$L$41,MATCH('CompilationCalcs - Di et al.EOL'!$A374,PlasticsUse!$A$27:$A$41,0),MATCH('CompilationCalcs - Di et al.EOL'!$C374,PlasticsUse!$B$26:$L$26,0)),0)</f>
        <v>0</v>
      </c>
    </row>
    <row r="375" spans="1:8" x14ac:dyDescent="0.2">
      <c r="A375" t="s">
        <v>30</v>
      </c>
      <c r="B375" t="s">
        <v>206</v>
      </c>
      <c r="C375" t="s">
        <v>63</v>
      </c>
      <c r="D375" s="11">
        <f>INDEX(PlasticsUse!$B$48:$L$64,MATCH('CompilationCalcs - Di et al.EOL'!$A375,PlasticsUse!$A$48:$A$64,0),MATCH('CompilationCalcs - Di et al.EOL'!$C375,PlasticsUse!$B$47:$L$47,0))</f>
        <v>0</v>
      </c>
      <c r="E375" s="11" t="str">
        <f>IF('CompilationCalcs - Di et al.EOL'!C375=PlasticsUse!$D$93,Conversions!$A$17,IF('CompilationCalcs - Di et al.EOL'!C375=PlasticsUse!$L$93,Conversions!$A$18,Conversions!$A$16))</f>
        <v>Transfer Station</v>
      </c>
      <c r="F375" s="11">
        <f>INDEX('In-Use Stocks'!$M$81:$V$97,MATCH('CompilationCalcs - Di et al.EOL'!$A375,'In-Use Stocks'!$L$81:$L$97,0),MATCH('CompilationCalcs - Di et al.EOL'!$C375,'In-Use Stocks'!$M$80:$V$80,0))</f>
        <v>0.18235906264642615</v>
      </c>
      <c r="G375" t="s">
        <v>191</v>
      </c>
      <c r="H375" s="11">
        <f>IFERROR(INDEX(EndOfLife!$L$64:$P$78,MATCH($A375,EndOfLife!$A$64:$A$78,0),MATCH($G375,EndOfLife!$L$63:$P$63,0))*INDEX(PlasticsUse!$B$27:$L$41,MATCH('CompilationCalcs - Di et al.EOL'!$A375,PlasticsUse!$A$27:$A$41,0),MATCH('CompilationCalcs - Di et al.EOL'!$C375,PlasticsUse!$B$26:$L$26,0)),0)</f>
        <v>0</v>
      </c>
    </row>
    <row r="376" spans="1:8" x14ac:dyDescent="0.2">
      <c r="A376" t="s">
        <v>30</v>
      </c>
      <c r="B376" t="s">
        <v>206</v>
      </c>
      <c r="C376" t="s">
        <v>92</v>
      </c>
      <c r="D376" s="11">
        <f>INDEX(PlasticsUse!$B$48:$L$64,MATCH('CompilationCalcs - Di et al.EOL'!$A376,PlasticsUse!$A$48:$A$64,0),MATCH('CompilationCalcs - Di et al.EOL'!$C376,PlasticsUse!$B$47:$L$47,0))</f>
        <v>0</v>
      </c>
      <c r="E376" s="11" t="str">
        <f>IF('CompilationCalcs - Di et al.EOL'!C376=PlasticsUse!$D$93,Conversions!$A$17,IF('CompilationCalcs - Di et al.EOL'!C376=PlasticsUse!$L$93,Conversions!$A$18,Conversions!$A$16))</f>
        <v>Transfer Station</v>
      </c>
      <c r="F376" s="11">
        <f>INDEX('In-Use Stocks'!$M$81:$V$97,MATCH('CompilationCalcs - Di et al.EOL'!$A376,'In-Use Stocks'!$L$81:$L$97,0),MATCH('CompilationCalcs - Di et al.EOL'!$C376,'In-Use Stocks'!$M$80:$V$80,0))</f>
        <v>0</v>
      </c>
      <c r="G376" t="s">
        <v>191</v>
      </c>
      <c r="H376" s="11">
        <f>IFERROR(INDEX(EndOfLife!$L$64:$P$78,MATCH($A376,EndOfLife!$A$64:$A$78,0),MATCH($G376,EndOfLife!$L$63:$P$63,0))*INDEX(PlasticsUse!$B$27:$L$41,MATCH('CompilationCalcs - Di et al.EOL'!$A376,PlasticsUse!$A$27:$A$41,0),MATCH('CompilationCalcs - Di et al.EOL'!$C376,PlasticsUse!$B$26:$L$26,0)),0)</f>
        <v>0</v>
      </c>
    </row>
    <row r="377" spans="1:8" x14ac:dyDescent="0.2">
      <c r="A377" t="s">
        <v>30</v>
      </c>
      <c r="B377" t="s">
        <v>206</v>
      </c>
      <c r="C377" t="s">
        <v>103</v>
      </c>
      <c r="D377" s="11">
        <f>INDEX(PlasticsUse!$B$48:$L$64,MATCH('CompilationCalcs - Di et al.EOL'!$A377,PlasticsUse!$A$48:$A$64,0),MATCH('CompilationCalcs - Di et al.EOL'!$C377,PlasticsUse!$B$47:$L$47,0))</f>
        <v>0.82874999999999999</v>
      </c>
      <c r="E377" s="11" t="str">
        <f>IF('CompilationCalcs - Di et al.EOL'!C377=PlasticsUse!$D$93,Conversions!$A$17,IF('CompilationCalcs - Di et al.EOL'!C377=PlasticsUse!$L$93,Conversions!$A$18,Conversions!$A$16))</f>
        <v>Transfer Station</v>
      </c>
      <c r="F377" s="11">
        <f>INDEX('In-Use Stocks'!$M$81:$V$97,MATCH('CompilationCalcs - Di et al.EOL'!$A377,'In-Use Stocks'!$L$81:$L$97,0),MATCH('CompilationCalcs - Di et al.EOL'!$C377,'In-Use Stocks'!$M$80:$V$80,0))</f>
        <v>0.11144900980460934</v>
      </c>
      <c r="G377" t="s">
        <v>191</v>
      </c>
      <c r="H377" s="11">
        <f>IFERROR(INDEX(EndOfLife!$L$64:$P$78,MATCH($A377,EndOfLife!$A$64:$A$78,0),MATCH($G377,EndOfLife!$L$63:$P$63,0))*INDEX(PlasticsUse!$B$27:$L$41,MATCH('CompilationCalcs - Di et al.EOL'!$A377,PlasticsUse!$A$27:$A$41,0),MATCH('CompilationCalcs - Di et al.EOL'!$C377,PlasticsUse!$B$26:$L$26,0)),0)</f>
        <v>0</v>
      </c>
    </row>
    <row r="378" spans="1:8" x14ac:dyDescent="0.2">
      <c r="A378" t="s">
        <v>30</v>
      </c>
      <c r="B378" t="s">
        <v>206</v>
      </c>
      <c r="C378" t="s">
        <v>86</v>
      </c>
      <c r="D378" s="11">
        <f>INDEX(PlasticsUse!$B$48:$L$64,MATCH('CompilationCalcs - Di et al.EOL'!$A378,PlasticsUse!$A$48:$A$64,0),MATCH('CompilationCalcs - Di et al.EOL'!$C378,PlasticsUse!$B$47:$L$47,0))</f>
        <v>0</v>
      </c>
      <c r="E378" s="11" t="str">
        <f>IF('CompilationCalcs - Di et al.EOL'!C378=PlasticsUse!$D$93,Conversions!$A$17,IF('CompilationCalcs - Di et al.EOL'!C378=PlasticsUse!$L$93,Conversions!$A$18,Conversions!$A$16))</f>
        <v>Transfer Station</v>
      </c>
      <c r="F378" s="11">
        <f>INDEX('In-Use Stocks'!$M$81:$V$97,MATCH('CompilationCalcs - Di et al.EOL'!$A378,'In-Use Stocks'!$L$81:$L$97,0),MATCH('CompilationCalcs - Di et al.EOL'!$C378,'In-Use Stocks'!$M$80:$V$80,0))</f>
        <v>7.4787977182170923E-2</v>
      </c>
      <c r="G378" t="s">
        <v>191</v>
      </c>
      <c r="H378" s="11">
        <f>IFERROR(INDEX(EndOfLife!$L$64:$P$78,MATCH($A378,EndOfLife!$A$64:$A$78,0),MATCH($G378,EndOfLife!$L$63:$P$63,0))*INDEX(PlasticsUse!$B$27:$L$41,MATCH('CompilationCalcs - Di et al.EOL'!$A378,PlasticsUse!$A$27:$A$41,0),MATCH('CompilationCalcs - Di et al.EOL'!$C378,PlasticsUse!$B$26:$L$26,0)),0)</f>
        <v>0</v>
      </c>
    </row>
    <row r="379" spans="1:8" x14ac:dyDescent="0.2">
      <c r="A379" t="s">
        <v>30</v>
      </c>
      <c r="B379" t="s">
        <v>206</v>
      </c>
      <c r="C379" t="s">
        <v>18</v>
      </c>
      <c r="D379" s="11">
        <f>INDEX(PlasticsUse!$B$48:$L$64,MATCH('CompilationCalcs - Di et al.EOL'!$A379,PlasticsUse!$A$48:$A$64,0),MATCH('CompilationCalcs - Di et al.EOL'!$C379,PlasticsUse!$B$47:$L$47,0))</f>
        <v>6.3750000000000015E-2</v>
      </c>
      <c r="E379" s="11" t="str">
        <f>IF('CompilationCalcs - Di et al.EOL'!C379=PlasticsUse!$D$93,Conversions!$A$17,IF('CompilationCalcs - Di et al.EOL'!C379=PlasticsUse!$L$93,Conversions!$A$18,Conversions!$A$16))</f>
        <v>N/A</v>
      </c>
      <c r="F379" s="11">
        <f t="shared" si="6"/>
        <v>6.3750000000000015E-2</v>
      </c>
      <c r="G379" t="s">
        <v>287</v>
      </c>
      <c r="H379" s="11">
        <f>IFERROR(INDEX(EndOfLife!$L$64:$P$78,MATCH($A379,EndOfLife!$A$64:$A$78,0),MATCH($G379,EndOfLife!$L$63:$P$63,0))*INDEX(PlasticsUse!$B$27:$L$41,MATCH('CompilationCalcs - Di et al.EOL'!$A379,PlasticsUse!$A$27:$A$41,0),MATCH('CompilationCalcs - Di et al.EOL'!$C379,PlasticsUse!$B$26:$L$26,0)),0)</f>
        <v>0</v>
      </c>
    </row>
    <row r="380" spans="1:8" x14ac:dyDescent="0.2">
      <c r="A380" t="s">
        <v>30</v>
      </c>
      <c r="B380" t="s">
        <v>207</v>
      </c>
      <c r="C380" t="s">
        <v>38</v>
      </c>
      <c r="D380" s="11"/>
      <c r="E380" s="11" t="str">
        <f>IF('CompilationCalcs - Di et al.EOL'!C380=PlasticsUse!$D$93,Conversions!$A$17,IF('CompilationCalcs - Di et al.EOL'!C380=PlasticsUse!$L$93,Conversions!$A$18,Conversions!$A$16))</f>
        <v>Transfer Station</v>
      </c>
      <c r="F380" s="11">
        <f t="shared" si="6"/>
        <v>0</v>
      </c>
      <c r="G380" t="s">
        <v>5</v>
      </c>
      <c r="H380" s="11">
        <f>IFERROR(INDEX(EndOfLife!$L$64:$P$78,MATCH($A380,EndOfLife!$A$64:$A$78,0),MATCH($G380,EndOfLife!$L$63:$P$63,0))*INDEX(PlasticsUse!$B$27:$L$41,MATCH('CompilationCalcs - Di et al.EOL'!$A380,PlasticsUse!$A$27:$A$41,0),MATCH('CompilationCalcs - Di et al.EOL'!$C380,PlasticsUse!$B$26:$L$26,0)),0)</f>
        <v>0</v>
      </c>
    </row>
    <row r="381" spans="1:8" x14ac:dyDescent="0.2">
      <c r="A381" t="s">
        <v>30</v>
      </c>
      <c r="B381" t="s">
        <v>207</v>
      </c>
      <c r="C381" t="s">
        <v>99</v>
      </c>
      <c r="D381" s="11"/>
      <c r="E381" s="11" t="str">
        <f>IF('CompilationCalcs - Di et al.EOL'!C381=PlasticsUse!$D$93,Conversions!$A$17,IF('CompilationCalcs - Di et al.EOL'!C381=PlasticsUse!$L$93,Conversions!$A$18,Conversions!$A$16))</f>
        <v>Transfer Station</v>
      </c>
      <c r="F381" s="11">
        <f t="shared" si="6"/>
        <v>0</v>
      </c>
      <c r="G381" t="s">
        <v>5</v>
      </c>
      <c r="H381" s="11">
        <f>IFERROR(INDEX(EndOfLife!$L$64:$P$78,MATCH($A381,EndOfLife!$A$64:$A$78,0),MATCH($G381,EndOfLife!$L$63:$P$63,0))*INDEX(PlasticsUse!$B$27:$L$41,MATCH('CompilationCalcs - Di et al.EOL'!$A381,PlasticsUse!$A$27:$A$41,0),MATCH('CompilationCalcs - Di et al.EOL'!$C381,PlasticsUse!$B$26:$L$26,0)),0)</f>
        <v>1.9409389038965941E-2</v>
      </c>
    </row>
    <row r="382" spans="1:8" x14ac:dyDescent="0.2">
      <c r="A382" t="s">
        <v>30</v>
      </c>
      <c r="B382" t="s">
        <v>207</v>
      </c>
      <c r="C382" t="s">
        <v>69</v>
      </c>
      <c r="D382" s="11"/>
      <c r="E382" s="11" t="str">
        <f>IF('CompilationCalcs - Di et al.EOL'!C382=PlasticsUse!$D$93,Conversions!$A$17,IF('CompilationCalcs - Di et al.EOL'!C382=PlasticsUse!$L$93,Conversions!$A$18,Conversions!$A$16))</f>
        <v>Automotive Shredding Facility</v>
      </c>
      <c r="F382" s="11">
        <f t="shared" si="6"/>
        <v>0</v>
      </c>
      <c r="G382" t="s">
        <v>5</v>
      </c>
      <c r="H382" s="11">
        <f>IFERROR(INDEX(EndOfLife!$L$64:$P$78,MATCH($A382,EndOfLife!$A$64:$A$78,0),MATCH($G382,EndOfLife!$L$63:$P$63,0))*INDEX(PlasticsUse!$B$27:$L$41,MATCH('CompilationCalcs - Di et al.EOL'!$A382,PlasticsUse!$A$27:$A$41,0),MATCH('CompilationCalcs - Di et al.EOL'!$C382,PlasticsUse!$B$26:$L$26,0)),0)</f>
        <v>0</v>
      </c>
    </row>
    <row r="383" spans="1:8" x14ac:dyDescent="0.2">
      <c r="A383" t="s">
        <v>30</v>
      </c>
      <c r="B383" t="s">
        <v>207</v>
      </c>
      <c r="C383" t="s">
        <v>100</v>
      </c>
      <c r="D383" s="11"/>
      <c r="E383" s="11" t="str">
        <f>IF('CompilationCalcs - Di et al.EOL'!C383=PlasticsUse!$D$93,Conversions!$A$17,IF('CompilationCalcs - Di et al.EOL'!C383=PlasticsUse!$L$93,Conversions!$A$18,Conversions!$A$16))</f>
        <v>Transfer Station</v>
      </c>
      <c r="F383" s="11">
        <f t="shared" si="6"/>
        <v>0</v>
      </c>
      <c r="G383" t="s">
        <v>5</v>
      </c>
      <c r="H383" s="11">
        <f>IFERROR(INDEX(EndOfLife!$L$64:$P$78,MATCH($A383,EndOfLife!$A$64:$A$78,0),MATCH($G383,EndOfLife!$L$63:$P$63,0))*INDEX(PlasticsUse!$B$27:$L$41,MATCH('CompilationCalcs - Di et al.EOL'!$A383,PlasticsUse!$A$27:$A$41,0),MATCH('CompilationCalcs - Di et al.EOL'!$C383,PlasticsUse!$B$26:$L$26,0)),0)</f>
        <v>9.7046945194829703E-3</v>
      </c>
    </row>
    <row r="384" spans="1:8" x14ac:dyDescent="0.2">
      <c r="A384" t="s">
        <v>30</v>
      </c>
      <c r="B384" t="s">
        <v>207</v>
      </c>
      <c r="C384" t="s">
        <v>39</v>
      </c>
      <c r="D384" s="11"/>
      <c r="E384" s="11" t="str">
        <f>IF('CompilationCalcs - Di et al.EOL'!C384=PlasticsUse!$D$93,Conversions!$A$17,IF('CompilationCalcs - Di et al.EOL'!C384=PlasticsUse!$L$93,Conversions!$A$18,Conversions!$A$16))</f>
        <v>Transfer Station</v>
      </c>
      <c r="F384" s="11">
        <f t="shared" si="6"/>
        <v>0</v>
      </c>
      <c r="G384" t="s">
        <v>5</v>
      </c>
      <c r="H384" s="11">
        <f>IFERROR(INDEX(EndOfLife!$L$64:$P$78,MATCH($A384,EndOfLife!$A$64:$A$78,0),MATCH($G384,EndOfLife!$L$63:$P$63,0))*INDEX(PlasticsUse!$B$27:$L$41,MATCH('CompilationCalcs - Di et al.EOL'!$A384,PlasticsUse!$A$27:$A$41,0),MATCH('CompilationCalcs - Di et al.EOL'!$C384,PlasticsUse!$B$26:$L$26,0)),0)</f>
        <v>0</v>
      </c>
    </row>
    <row r="385" spans="1:8" x14ac:dyDescent="0.2">
      <c r="A385" t="s">
        <v>30</v>
      </c>
      <c r="B385" t="s">
        <v>207</v>
      </c>
      <c r="C385" t="s">
        <v>63</v>
      </c>
      <c r="D385" s="11"/>
      <c r="E385" s="11" t="str">
        <f>IF('CompilationCalcs - Di et al.EOL'!C385=PlasticsUse!$D$93,Conversions!$A$17,IF('CompilationCalcs - Di et al.EOL'!C385=PlasticsUse!$L$93,Conversions!$A$18,Conversions!$A$16))</f>
        <v>Transfer Station</v>
      </c>
      <c r="F385" s="11">
        <f t="shared" si="6"/>
        <v>0</v>
      </c>
      <c r="G385" t="s">
        <v>5</v>
      </c>
      <c r="H385" s="11">
        <f>IFERROR(INDEX(EndOfLife!$L$64:$P$78,MATCH($A385,EndOfLife!$A$64:$A$78,0),MATCH($G385,EndOfLife!$L$63:$P$63,0))*INDEX(PlasticsUse!$B$27:$L$41,MATCH('CompilationCalcs - Di et al.EOL'!$A385,PlasticsUse!$A$27:$A$41,0),MATCH('CompilationCalcs - Di et al.EOL'!$C385,PlasticsUse!$B$26:$L$26,0)),0)</f>
        <v>0</v>
      </c>
    </row>
    <row r="386" spans="1:8" x14ac:dyDescent="0.2">
      <c r="A386" t="s">
        <v>30</v>
      </c>
      <c r="B386" t="s">
        <v>207</v>
      </c>
      <c r="C386" t="s">
        <v>92</v>
      </c>
      <c r="D386" s="11"/>
      <c r="E386" s="11" t="str">
        <f>IF('CompilationCalcs - Di et al.EOL'!C386=PlasticsUse!$D$93,Conversions!$A$17,IF('CompilationCalcs - Di et al.EOL'!C386=PlasticsUse!$L$93,Conversions!$A$18,Conversions!$A$16))</f>
        <v>Transfer Station</v>
      </c>
      <c r="F386" s="11">
        <f t="shared" si="6"/>
        <v>0</v>
      </c>
      <c r="G386" t="s">
        <v>5</v>
      </c>
      <c r="H386" s="11">
        <f>IFERROR(INDEX(EndOfLife!$L$64:$P$78,MATCH($A386,EndOfLife!$A$64:$A$78,0),MATCH($G386,EndOfLife!$L$63:$P$63,0))*INDEX(PlasticsUse!$B$27:$L$41,MATCH('CompilationCalcs - Di et al.EOL'!$A386,PlasticsUse!$A$27:$A$41,0),MATCH('CompilationCalcs - Di et al.EOL'!$C386,PlasticsUse!$B$26:$L$26,0)),0)</f>
        <v>0</v>
      </c>
    </row>
    <row r="387" spans="1:8" x14ac:dyDescent="0.2">
      <c r="A387" t="s">
        <v>30</v>
      </c>
      <c r="B387" t="s">
        <v>207</v>
      </c>
      <c r="C387" t="s">
        <v>103</v>
      </c>
      <c r="D387" s="11"/>
      <c r="E387" s="11" t="str">
        <f>IF('CompilationCalcs - Di et al.EOL'!C387=PlasticsUse!$D$93,Conversions!$A$17,IF('CompilationCalcs - Di et al.EOL'!C387=PlasticsUse!$L$93,Conversions!$A$18,Conversions!$A$16))</f>
        <v>Transfer Station</v>
      </c>
      <c r="F387" s="11">
        <f t="shared" si="6"/>
        <v>0</v>
      </c>
      <c r="G387" t="s">
        <v>5</v>
      </c>
      <c r="H387" s="11">
        <f>IFERROR(INDEX(EndOfLife!$L$64:$P$78,MATCH($A387,EndOfLife!$A$64:$A$78,0),MATCH($G387,EndOfLife!$L$63:$P$63,0))*INDEX(PlasticsUse!$B$27:$L$41,MATCH('CompilationCalcs - Di et al.EOL'!$A387,PlasticsUse!$A$27:$A$41,0),MATCH('CompilationCalcs - Di et al.EOL'!$C387,PlasticsUse!$B$26:$L$26,0)),0)</f>
        <v>6.3080514376639307E-2</v>
      </c>
    </row>
    <row r="388" spans="1:8" x14ac:dyDescent="0.2">
      <c r="A388" t="s">
        <v>30</v>
      </c>
      <c r="B388" t="s">
        <v>207</v>
      </c>
      <c r="C388" t="s">
        <v>86</v>
      </c>
      <c r="D388" s="11"/>
      <c r="E388" s="11" t="str">
        <f>IF('CompilationCalcs - Di et al.EOL'!C388=PlasticsUse!$D$93,Conversions!$A$17,IF('CompilationCalcs - Di et al.EOL'!C388=PlasticsUse!$L$93,Conversions!$A$18,Conversions!$A$16))</f>
        <v>Transfer Station</v>
      </c>
      <c r="F388" s="11">
        <f t="shared" si="6"/>
        <v>0</v>
      </c>
      <c r="G388" t="s">
        <v>5</v>
      </c>
      <c r="H388" s="11">
        <f>IFERROR(INDEX(EndOfLife!$L$64:$P$78,MATCH($A388,EndOfLife!$A$64:$A$78,0),MATCH($G388,EndOfLife!$L$63:$P$63,0))*INDEX(PlasticsUse!$B$27:$L$41,MATCH('CompilationCalcs - Di et al.EOL'!$A388,PlasticsUse!$A$27:$A$41,0),MATCH('CompilationCalcs - Di et al.EOL'!$C388,PlasticsUse!$B$26:$L$26,0)),0)</f>
        <v>0</v>
      </c>
    </row>
    <row r="389" spans="1:8" x14ac:dyDescent="0.2">
      <c r="A389" t="s">
        <v>30</v>
      </c>
      <c r="B389" t="s">
        <v>207</v>
      </c>
      <c r="C389" t="s">
        <v>18</v>
      </c>
      <c r="D389" s="11"/>
      <c r="E389" s="11" t="str">
        <f>IF('CompilationCalcs - Di et al.EOL'!C389=PlasticsUse!$D$93,Conversions!$A$17,IF('CompilationCalcs - Di et al.EOL'!C389=PlasticsUse!$L$93,Conversions!$A$18,Conversions!$A$16))</f>
        <v>N/A</v>
      </c>
      <c r="F389" s="11">
        <f t="shared" si="6"/>
        <v>0</v>
      </c>
      <c r="G389" t="s">
        <v>287</v>
      </c>
      <c r="H389" s="11">
        <f>IFERROR(INDEX(EndOfLife!$L$64:$P$78,MATCH($A389,EndOfLife!$A$64:$A$78,0),MATCH($G389,EndOfLife!$L$63:$P$63,0))*INDEX(PlasticsUse!$B$27:$L$41,MATCH('CompilationCalcs - Di et al.EOL'!$A389,PlasticsUse!$A$27:$A$41,0),MATCH('CompilationCalcs - Di et al.EOL'!$C389,PlasticsUse!$B$26:$L$26,0)),0)</f>
        <v>0</v>
      </c>
    </row>
    <row r="390" spans="1:8" x14ac:dyDescent="0.2">
      <c r="A390" t="s">
        <v>30</v>
      </c>
      <c r="B390" t="s">
        <v>207</v>
      </c>
      <c r="C390" t="s">
        <v>99</v>
      </c>
      <c r="D390" s="11"/>
      <c r="E390" s="11" t="str">
        <f>IF('CompilationCalcs - Di et al.EOL'!C390=PlasticsUse!$D$93,Conversions!$A$17,IF('CompilationCalcs - Di et al.EOL'!C390=PlasticsUse!$L$93,Conversions!$A$18,Conversions!$A$16))</f>
        <v>Transfer Station</v>
      </c>
      <c r="F390" s="11">
        <f t="shared" si="6"/>
        <v>0</v>
      </c>
      <c r="G390" t="s">
        <v>6</v>
      </c>
      <c r="H390" s="11">
        <f>IFERROR(INDEX(EndOfLife!$L$64:$P$78,MATCH($A390,EndOfLife!$A$64:$A$78,0),MATCH($G390,EndOfLife!$L$63:$P$63,0))*INDEX(PlasticsUse!$B$27:$L$41,MATCH('CompilationCalcs - Di et al.EOL'!$A390,PlasticsUse!$A$27:$A$41,0),MATCH('CompilationCalcs - Di et al.EOL'!$C390,PlasticsUse!$B$26:$L$26,0)),0)</f>
        <v>0.21166898551944835</v>
      </c>
    </row>
    <row r="391" spans="1:8" x14ac:dyDescent="0.2">
      <c r="A391" t="s">
        <v>30</v>
      </c>
      <c r="B391" t="s">
        <v>207</v>
      </c>
      <c r="C391" t="s">
        <v>69</v>
      </c>
      <c r="D391" s="11"/>
      <c r="E391" s="11" t="str">
        <f>IF('CompilationCalcs - Di et al.EOL'!C391=PlasticsUse!$D$93,Conversions!$A$17,IF('CompilationCalcs - Di et al.EOL'!C391=PlasticsUse!$L$93,Conversions!$A$18,Conversions!$A$16))</f>
        <v>Automotive Shredding Facility</v>
      </c>
      <c r="F391" s="11">
        <f t="shared" si="6"/>
        <v>0</v>
      </c>
      <c r="G391" t="s">
        <v>6</v>
      </c>
      <c r="H391" s="11">
        <f>IFERROR(INDEX(EndOfLife!$L$64:$P$78,MATCH($A391,EndOfLife!$A$64:$A$78,0),MATCH($G391,EndOfLife!$L$63:$P$63,0))*INDEX(PlasticsUse!$B$27:$L$41,MATCH('CompilationCalcs - Di et al.EOL'!$A391,PlasticsUse!$A$27:$A$41,0),MATCH('CompilationCalcs - Di et al.EOL'!$C391,PlasticsUse!$B$26:$L$26,0)),0)</f>
        <v>0</v>
      </c>
    </row>
    <row r="392" spans="1:8" x14ac:dyDescent="0.2">
      <c r="A392" t="s">
        <v>30</v>
      </c>
      <c r="B392" t="s">
        <v>207</v>
      </c>
      <c r="C392" t="s">
        <v>100</v>
      </c>
      <c r="D392" s="11"/>
      <c r="E392" s="11" t="str">
        <f>IF('CompilationCalcs - Di et al.EOL'!C392=PlasticsUse!$D$93,Conversions!$A$17,IF('CompilationCalcs - Di et al.EOL'!C392=PlasticsUse!$L$93,Conversions!$A$18,Conversions!$A$16))</f>
        <v>Transfer Station</v>
      </c>
      <c r="F392" s="11">
        <f t="shared" si="6"/>
        <v>0</v>
      </c>
      <c r="G392" t="s">
        <v>6</v>
      </c>
      <c r="H392" s="11">
        <f>IFERROR(INDEX(EndOfLife!$L$64:$P$78,MATCH($A392,EndOfLife!$A$64:$A$78,0),MATCH($G392,EndOfLife!$L$63:$P$63,0))*INDEX(PlasticsUse!$B$27:$L$41,MATCH('CompilationCalcs - Di et al.EOL'!$A392,PlasticsUse!$A$27:$A$41,0),MATCH('CompilationCalcs - Di et al.EOL'!$C392,PlasticsUse!$B$26:$L$26,0)),0)</f>
        <v>0.10583449275972417</v>
      </c>
    </row>
    <row r="393" spans="1:8" x14ac:dyDescent="0.2">
      <c r="A393" t="s">
        <v>30</v>
      </c>
      <c r="B393" t="s">
        <v>207</v>
      </c>
      <c r="C393" t="s">
        <v>39</v>
      </c>
      <c r="D393" s="11"/>
      <c r="E393" s="11" t="str">
        <f>IF('CompilationCalcs - Di et al.EOL'!C393=PlasticsUse!$D$93,Conversions!$A$17,IF('CompilationCalcs - Di et al.EOL'!C393=PlasticsUse!$L$93,Conversions!$A$18,Conversions!$A$16))</f>
        <v>Transfer Station</v>
      </c>
      <c r="F393" s="11">
        <f t="shared" si="6"/>
        <v>0</v>
      </c>
      <c r="G393" t="s">
        <v>6</v>
      </c>
      <c r="H393" s="11">
        <f>IFERROR(INDEX(EndOfLife!$L$64:$P$78,MATCH($A393,EndOfLife!$A$64:$A$78,0),MATCH($G393,EndOfLife!$L$63:$P$63,0))*INDEX(PlasticsUse!$B$27:$L$41,MATCH('CompilationCalcs - Di et al.EOL'!$A393,PlasticsUse!$A$27:$A$41,0),MATCH('CompilationCalcs - Di et al.EOL'!$C393,PlasticsUse!$B$26:$L$26,0)),0)</f>
        <v>0</v>
      </c>
    </row>
    <row r="394" spans="1:8" x14ac:dyDescent="0.2">
      <c r="A394" t="s">
        <v>30</v>
      </c>
      <c r="B394" t="s">
        <v>207</v>
      </c>
      <c r="C394" t="s">
        <v>68</v>
      </c>
      <c r="D394" s="11"/>
      <c r="E394" s="11" t="str">
        <f>IF('CompilationCalcs - Di et al.EOL'!C394=PlasticsUse!$D$93,Conversions!$A$17,IF('CompilationCalcs - Di et al.EOL'!C394=PlasticsUse!$L$93,Conversions!$A$18,Conversions!$A$16))</f>
        <v>Transfer Station</v>
      </c>
      <c r="F394" s="11">
        <f t="shared" si="6"/>
        <v>0</v>
      </c>
      <c r="G394" t="s">
        <v>6</v>
      </c>
      <c r="H394" s="11">
        <f>IFERROR(INDEX(EndOfLife!$L$64:$P$78,MATCH($A394,EndOfLife!$A$64:$A$78,0),MATCH($G394,EndOfLife!$L$63:$P$63,0))*INDEX(PlasticsUse!$B$27:$L$41,MATCH('CompilationCalcs - Di et al.EOL'!$A394,PlasticsUse!$A$27:$A$41,0),MATCH('CompilationCalcs - Di et al.EOL'!$C394,PlasticsUse!$B$26:$L$26,0)),0)</f>
        <v>0</v>
      </c>
    </row>
    <row r="395" spans="1:8" x14ac:dyDescent="0.2">
      <c r="A395" t="s">
        <v>30</v>
      </c>
      <c r="B395" t="s">
        <v>207</v>
      </c>
      <c r="C395" t="s">
        <v>63</v>
      </c>
      <c r="D395" s="11"/>
      <c r="E395" s="11" t="str">
        <f>IF('CompilationCalcs - Di et al.EOL'!C395=PlasticsUse!$D$93,Conversions!$A$17,IF('CompilationCalcs - Di et al.EOL'!C395=PlasticsUse!$L$93,Conversions!$A$18,Conversions!$A$16))</f>
        <v>Transfer Station</v>
      </c>
      <c r="F395" s="11">
        <f t="shared" si="6"/>
        <v>0</v>
      </c>
      <c r="G395" t="s">
        <v>6</v>
      </c>
      <c r="H395" s="11">
        <f>IFERROR(INDEX(EndOfLife!$L$64:$P$78,MATCH($A395,EndOfLife!$A$64:$A$78,0),MATCH($G395,EndOfLife!$L$63:$P$63,0))*INDEX(PlasticsUse!$B$27:$L$41,MATCH('CompilationCalcs - Di et al.EOL'!$A395,PlasticsUse!$A$27:$A$41,0),MATCH('CompilationCalcs - Di et al.EOL'!$C395,PlasticsUse!$B$26:$L$26,0)),0)</f>
        <v>0</v>
      </c>
    </row>
    <row r="396" spans="1:8" x14ac:dyDescent="0.2">
      <c r="A396" t="s">
        <v>30</v>
      </c>
      <c r="B396" t="s">
        <v>207</v>
      </c>
      <c r="C396" t="s">
        <v>92</v>
      </c>
      <c r="D396" s="11"/>
      <c r="E396" s="11" t="str">
        <f>IF('CompilationCalcs - Di et al.EOL'!C396=PlasticsUse!$D$93,Conversions!$A$17,IF('CompilationCalcs - Di et al.EOL'!C396=PlasticsUse!$L$93,Conversions!$A$18,Conversions!$A$16))</f>
        <v>Transfer Station</v>
      </c>
      <c r="F396" s="11">
        <f t="shared" si="6"/>
        <v>0</v>
      </c>
      <c r="G396" t="s">
        <v>6</v>
      </c>
      <c r="H396" s="11">
        <f>IFERROR(INDEX(EndOfLife!$L$64:$P$78,MATCH($A396,EndOfLife!$A$64:$A$78,0),MATCH($G396,EndOfLife!$L$63:$P$63,0))*INDEX(PlasticsUse!$B$27:$L$41,MATCH('CompilationCalcs - Di et al.EOL'!$A396,PlasticsUse!$A$27:$A$41,0),MATCH('CompilationCalcs - Di et al.EOL'!$C396,PlasticsUse!$B$26:$L$26,0)),0)</f>
        <v>0</v>
      </c>
    </row>
    <row r="397" spans="1:8" x14ac:dyDescent="0.2">
      <c r="A397" t="s">
        <v>30</v>
      </c>
      <c r="B397" t="s">
        <v>207</v>
      </c>
      <c r="C397" t="s">
        <v>103</v>
      </c>
      <c r="D397" s="11"/>
      <c r="E397" s="11" t="str">
        <f>IF('CompilationCalcs - Di et al.EOL'!C397=PlasticsUse!$D$93,Conversions!$A$17,IF('CompilationCalcs - Di et al.EOL'!C397=PlasticsUse!$L$93,Conversions!$A$18,Conversions!$A$16))</f>
        <v>Transfer Station</v>
      </c>
      <c r="F397" s="11">
        <f t="shared" si="6"/>
        <v>0</v>
      </c>
      <c r="G397" t="s">
        <v>6</v>
      </c>
      <c r="H397" s="11">
        <f>IFERROR(INDEX(EndOfLife!$L$64:$P$78,MATCH($A397,EndOfLife!$A$64:$A$78,0),MATCH($G397,EndOfLife!$L$63:$P$63,0))*INDEX(PlasticsUse!$B$27:$L$41,MATCH('CompilationCalcs - Di et al.EOL'!$A397,PlasticsUse!$A$27:$A$41,0),MATCH('CompilationCalcs - Di et al.EOL'!$C397,PlasticsUse!$B$26:$L$26,0)),0)</f>
        <v>0.68792420293820711</v>
      </c>
    </row>
    <row r="398" spans="1:8" x14ac:dyDescent="0.2">
      <c r="A398" t="s">
        <v>30</v>
      </c>
      <c r="B398" t="s">
        <v>207</v>
      </c>
      <c r="C398" t="s">
        <v>86</v>
      </c>
      <c r="D398" s="11"/>
      <c r="E398" s="11" t="str">
        <f>IF('CompilationCalcs - Di et al.EOL'!C398=PlasticsUse!$D$93,Conversions!$A$17,IF('CompilationCalcs - Di et al.EOL'!C398=PlasticsUse!$L$93,Conversions!$A$18,Conversions!$A$16))</f>
        <v>Transfer Station</v>
      </c>
      <c r="F398" s="11">
        <f t="shared" si="6"/>
        <v>0</v>
      </c>
      <c r="G398" t="s">
        <v>6</v>
      </c>
      <c r="H398" s="11">
        <f>IFERROR(INDEX(EndOfLife!$L$64:$P$78,MATCH($A398,EndOfLife!$A$64:$A$78,0),MATCH($G398,EndOfLife!$L$63:$P$63,0))*INDEX(PlasticsUse!$B$27:$L$41,MATCH('CompilationCalcs - Di et al.EOL'!$A398,PlasticsUse!$A$27:$A$41,0),MATCH('CompilationCalcs - Di et al.EOL'!$C398,PlasticsUse!$B$26:$L$26,0)),0)</f>
        <v>0</v>
      </c>
    </row>
    <row r="399" spans="1:8" x14ac:dyDescent="0.2">
      <c r="A399" t="s">
        <v>30</v>
      </c>
      <c r="B399" t="s">
        <v>207</v>
      </c>
      <c r="C399" t="s">
        <v>18</v>
      </c>
      <c r="D399" s="11"/>
      <c r="E399" s="11" t="str">
        <f>IF('CompilationCalcs - Di et al.EOL'!C399=PlasticsUse!$D$93,Conversions!$A$17,IF('CompilationCalcs - Di et al.EOL'!C399=PlasticsUse!$L$93,Conversions!$A$18,Conversions!$A$16))</f>
        <v>N/A</v>
      </c>
      <c r="F399" s="11">
        <f t="shared" si="6"/>
        <v>0</v>
      </c>
      <c r="G399" t="s">
        <v>287</v>
      </c>
      <c r="H399" s="11">
        <f>IFERROR(INDEX(EndOfLife!$L$64:$P$78,MATCH($A399,EndOfLife!$A$64:$A$78,0),MATCH($G399,EndOfLife!$L$63:$P$63,0))*INDEX(PlasticsUse!$B$27:$L$41,MATCH('CompilationCalcs - Di et al.EOL'!$A399,PlasticsUse!$A$27:$A$41,0),MATCH('CompilationCalcs - Di et al.EOL'!$C399,PlasticsUse!$B$26:$L$26,0)),0)</f>
        <v>0</v>
      </c>
    </row>
    <row r="400" spans="1:8" ht="17" x14ac:dyDescent="0.2">
      <c r="A400" t="s">
        <v>30</v>
      </c>
      <c r="B400" t="s">
        <v>207</v>
      </c>
      <c r="E400" s="11" t="s">
        <v>191</v>
      </c>
      <c r="F400" s="11">
        <f t="shared" si="6"/>
        <v>0</v>
      </c>
      <c r="G400" s="28" t="s">
        <v>360</v>
      </c>
      <c r="H400" s="11">
        <f>INDEX(EndOfLife!$T$64:$X$78,MATCH('CompilationCalcs - Di et al.EOL'!$A400,EndOfLife!$S$64:$S$78,0),MATCH('CompilationCalcs - Di et al.EOL'!$G400,EndOfLife!$T$63:$X$63,0))</f>
        <v>0</v>
      </c>
    </row>
    <row r="401" spans="1:8" ht="17" x14ac:dyDescent="0.2">
      <c r="A401" t="s">
        <v>30</v>
      </c>
      <c r="B401" t="s">
        <v>207</v>
      </c>
      <c r="E401" s="11" t="s">
        <v>191</v>
      </c>
      <c r="F401" s="11">
        <f t="shared" si="6"/>
        <v>0</v>
      </c>
      <c r="G401" s="28" t="s">
        <v>361</v>
      </c>
      <c r="H401" s="11">
        <f>INDEX(EndOfLife!$T$64:$X$78,MATCH('CompilationCalcs - Di et al.EOL'!$A401,EndOfLife!$S$64:$S$78,0),MATCH('CompilationCalcs - Di et al.EOL'!$G401,EndOfLife!$T$63:$X$63,0))</f>
        <v>0</v>
      </c>
    </row>
    <row r="402" spans="1:8" ht="17" x14ac:dyDescent="0.2">
      <c r="A402" t="s">
        <v>30</v>
      </c>
      <c r="B402" t="s">
        <v>207</v>
      </c>
      <c r="E402" s="11" t="s">
        <v>360</v>
      </c>
      <c r="F402" s="11">
        <f t="shared" si="6"/>
        <v>0</v>
      </c>
      <c r="G402" s="28" t="s">
        <v>192</v>
      </c>
      <c r="H402" s="11">
        <f>INDEX(EndOfLife!$T$64:$X$78,MATCH('CompilationCalcs - Di et al.EOL'!$A402,EndOfLife!$S$64:$S$78,0),MATCH('CompilationCalcs - Di et al.EOL'!$G402,EndOfLife!$T$63:$X$63,0))</f>
        <v>0</v>
      </c>
    </row>
    <row r="403" spans="1:8" ht="17" x14ac:dyDescent="0.2">
      <c r="A403" t="s">
        <v>30</v>
      </c>
      <c r="B403" t="s">
        <v>207</v>
      </c>
      <c r="E403" s="11" t="s">
        <v>191</v>
      </c>
      <c r="F403" s="11">
        <f t="shared" si="6"/>
        <v>0</v>
      </c>
      <c r="G403" s="28" t="s">
        <v>193</v>
      </c>
      <c r="H403" s="11">
        <f>INDEX(EndOfLife!$T$64:$X$78,MATCH('CompilationCalcs - Di et al.EOL'!$A403,EndOfLife!$S$64:$S$78,0),MATCH('CompilationCalcs - Di et al.EOL'!$G403,EndOfLife!$T$63:$X$63,0))</f>
        <v>0</v>
      </c>
    </row>
    <row r="404" spans="1:8" x14ac:dyDescent="0.2">
      <c r="A404" t="s">
        <v>31</v>
      </c>
      <c r="B404" t="s">
        <v>206</v>
      </c>
      <c r="C404" t="s">
        <v>38</v>
      </c>
      <c r="D404" s="11">
        <f>INDEX(PlasticsUse!$B$48:$L$64,MATCH('CompilationCalcs - Di et al.EOL'!$A404,PlasticsUse!$A$48:$A$64,0),MATCH('CompilationCalcs - Di et al.EOL'!$C404,PlasticsUse!$B$47:$L$47,0))</f>
        <v>4.5105188479999996E-2</v>
      </c>
      <c r="E404" s="11" t="str">
        <f>IF('CompilationCalcs - Di et al.EOL'!C404=PlasticsUse!$D$93,Conversions!$A$17,IF('CompilationCalcs - Di et al.EOL'!C404=PlasticsUse!$L$93,Conversions!$A$18,Conversions!$A$16))</f>
        <v>Transfer Station</v>
      </c>
      <c r="F404" s="11">
        <f>INDEX('In-Use Stocks'!$M$81:$V$97,MATCH('CompilationCalcs - Di et al.EOL'!$A404,'In-Use Stocks'!$L$81:$L$97,0),MATCH('CompilationCalcs - Di et al.EOL'!$C404,'In-Use Stocks'!$M$80:$V$80,0))</f>
        <v>0</v>
      </c>
      <c r="G404" t="s">
        <v>191</v>
      </c>
      <c r="H404" s="11">
        <f>IFERROR(INDEX(EndOfLife!$L$64:$P$78,MATCH($A404,EndOfLife!$A$64:$A$78,0),MATCH($G404,EndOfLife!$L$63:$P$63,0))*INDEX(PlasticsUse!$B$27:$L$41,MATCH('CompilationCalcs - Di et al.EOL'!$A404,PlasticsUse!$A$27:$A$41,0),MATCH('CompilationCalcs - Di et al.EOL'!$C404,PlasticsUse!$B$26:$L$26,0)),0)</f>
        <v>0</v>
      </c>
    </row>
    <row r="405" spans="1:8" x14ac:dyDescent="0.2">
      <c r="A405" t="s">
        <v>31</v>
      </c>
      <c r="B405" t="s">
        <v>206</v>
      </c>
      <c r="C405" t="s">
        <v>99</v>
      </c>
      <c r="D405" s="11">
        <f>INDEX(PlasticsUse!$B$48:$L$64,MATCH('CompilationCalcs - Di et al.EOL'!$A405,PlasticsUse!$A$48:$A$64,0),MATCH('CompilationCalcs - Di et al.EOL'!$C405,PlasticsUse!$B$47:$L$47,0))</f>
        <v>0</v>
      </c>
      <c r="E405" s="11" t="str">
        <f>IF('CompilationCalcs - Di et al.EOL'!C405=PlasticsUse!$D$93,Conversions!$A$17,IF('CompilationCalcs - Di et al.EOL'!C405=PlasticsUse!$L$93,Conversions!$A$18,Conversions!$A$16))</f>
        <v>Transfer Station</v>
      </c>
      <c r="F405" s="11">
        <f>INDEX('In-Use Stocks'!$M$81:$V$97,MATCH('CompilationCalcs - Di et al.EOL'!$A405,'In-Use Stocks'!$L$81:$L$97,0),MATCH('CompilationCalcs - Di et al.EOL'!$C405,'In-Use Stocks'!$M$80:$V$80,0))</f>
        <v>0.16855729379694884</v>
      </c>
      <c r="G405" t="s">
        <v>191</v>
      </c>
      <c r="H405" s="11">
        <f>IFERROR(INDEX(EndOfLife!$L$64:$P$78,MATCH($A405,EndOfLife!$A$64:$A$78,0),MATCH($G405,EndOfLife!$L$63:$P$63,0))*INDEX(PlasticsUse!$B$27:$L$41,MATCH('CompilationCalcs - Di et al.EOL'!$A405,PlasticsUse!$A$27:$A$41,0),MATCH('CompilationCalcs - Di et al.EOL'!$C405,PlasticsUse!$B$26:$L$26,0)),0)</f>
        <v>0</v>
      </c>
    </row>
    <row r="406" spans="1:8" x14ac:dyDescent="0.2">
      <c r="A406" t="s">
        <v>31</v>
      </c>
      <c r="B406" t="s">
        <v>206</v>
      </c>
      <c r="C406" t="s">
        <v>69</v>
      </c>
      <c r="D406" s="11">
        <f>INDEX(PlasticsUse!$B$48:$L$64,MATCH('CompilationCalcs - Di et al.EOL'!$A406,PlasticsUse!$A$48:$A$64,0),MATCH('CompilationCalcs - Di et al.EOL'!$C406,PlasticsUse!$B$47:$L$47,0))</f>
        <v>0.14884712198399999</v>
      </c>
      <c r="E406" s="11" t="str">
        <f>IF('CompilationCalcs - Di et al.EOL'!C406=PlasticsUse!$D$93,Conversions!$A$17,IF('CompilationCalcs - Di et al.EOL'!C406=PlasticsUse!$L$93,Conversions!$A$18,Conversions!$A$16))</f>
        <v>Automotive Shredding Facility</v>
      </c>
      <c r="F406" s="11">
        <f>INDEX('In-Use Stocks'!$M$81:$V$97,MATCH('CompilationCalcs - Di et al.EOL'!$A406,'In-Use Stocks'!$L$81:$L$97,0),MATCH('CompilationCalcs - Di et al.EOL'!$C406,'In-Use Stocks'!$M$80:$V$80,0))</f>
        <v>3.3151979060661384E-2</v>
      </c>
      <c r="G406" t="s">
        <v>191</v>
      </c>
      <c r="H406" s="11">
        <f>IFERROR(INDEX(EndOfLife!$L$64:$P$78,MATCH($A406,EndOfLife!$A$64:$A$78,0),MATCH($G406,EndOfLife!$L$63:$P$63,0))*INDEX(PlasticsUse!$B$27:$L$41,MATCH('CompilationCalcs - Di et al.EOL'!$A406,PlasticsUse!$A$27:$A$41,0),MATCH('CompilationCalcs - Di et al.EOL'!$C406,PlasticsUse!$B$26:$L$26,0)),0)</f>
        <v>0</v>
      </c>
    </row>
    <row r="407" spans="1:8" x14ac:dyDescent="0.2">
      <c r="A407" t="s">
        <v>31</v>
      </c>
      <c r="B407" t="s">
        <v>206</v>
      </c>
      <c r="C407" t="s">
        <v>100</v>
      </c>
      <c r="D407" s="11">
        <f>INDEX(PlasticsUse!$B$48:$L$64,MATCH('CompilationCalcs - Di et al.EOL'!$A407,PlasticsUse!$A$48:$A$64,0),MATCH('CompilationCalcs - Di et al.EOL'!$C407,PlasticsUse!$B$47:$L$47,0))</f>
        <v>0</v>
      </c>
      <c r="E407" s="11" t="str">
        <f>IF('CompilationCalcs - Di et al.EOL'!C407=PlasticsUse!$D$93,Conversions!$A$17,IF('CompilationCalcs - Di et al.EOL'!C407=PlasticsUse!$L$93,Conversions!$A$18,Conversions!$A$16))</f>
        <v>Transfer Station</v>
      </c>
      <c r="F407" s="11">
        <f>INDEX('In-Use Stocks'!$M$81:$V$97,MATCH('CompilationCalcs - Di et al.EOL'!$A407,'In-Use Stocks'!$L$81:$L$97,0),MATCH('CompilationCalcs - Di et al.EOL'!$C407,'In-Use Stocks'!$M$80:$V$80,0))</f>
        <v>7.499716768996513E-2</v>
      </c>
      <c r="G407" t="s">
        <v>191</v>
      </c>
      <c r="H407" s="11">
        <f>IFERROR(INDEX(EndOfLife!$L$64:$P$78,MATCH($A407,EndOfLife!$A$64:$A$78,0),MATCH($G407,EndOfLife!$L$63:$P$63,0))*INDEX(PlasticsUse!$B$27:$L$41,MATCH('CompilationCalcs - Di et al.EOL'!$A407,PlasticsUse!$A$27:$A$41,0),MATCH('CompilationCalcs - Di et al.EOL'!$C407,PlasticsUse!$B$26:$L$26,0)),0)</f>
        <v>0</v>
      </c>
    </row>
    <row r="408" spans="1:8" x14ac:dyDescent="0.2">
      <c r="A408" t="s">
        <v>31</v>
      </c>
      <c r="B408" t="s">
        <v>206</v>
      </c>
      <c r="C408" t="s">
        <v>39</v>
      </c>
      <c r="D408" s="11">
        <f>INDEX(PlasticsUse!$B$48:$L$64,MATCH('CompilationCalcs - Di et al.EOL'!$A408,PlasticsUse!$A$48:$A$64,0),MATCH('CompilationCalcs - Di et al.EOL'!$C408,PlasticsUse!$B$47:$L$47,0))</f>
        <v>0</v>
      </c>
      <c r="E408" s="11" t="str">
        <f>IF('CompilationCalcs - Di et al.EOL'!C408=PlasticsUse!$D$93,Conversions!$A$17,IF('CompilationCalcs - Di et al.EOL'!C408=PlasticsUse!$L$93,Conversions!$A$18,Conversions!$A$16))</f>
        <v>Transfer Station</v>
      </c>
      <c r="F408" s="11">
        <f>INDEX('In-Use Stocks'!$M$81:$V$97,MATCH('CompilationCalcs - Di et al.EOL'!$A408,'In-Use Stocks'!$L$81:$L$97,0),MATCH('CompilationCalcs - Di et al.EOL'!$C408,'In-Use Stocks'!$M$80:$V$80,0))</f>
        <v>0</v>
      </c>
      <c r="G408" t="s">
        <v>191</v>
      </c>
      <c r="H408" s="11">
        <f>IFERROR(INDEX(EndOfLife!$L$64:$P$78,MATCH($A408,EndOfLife!$A$64:$A$78,0),MATCH($G408,EndOfLife!$L$63:$P$63,0))*INDEX(PlasticsUse!$B$27:$L$41,MATCH('CompilationCalcs - Di et al.EOL'!$A408,PlasticsUse!$A$27:$A$41,0),MATCH('CompilationCalcs - Di et al.EOL'!$C408,PlasticsUse!$B$26:$L$26,0)),0)</f>
        <v>0</v>
      </c>
    </row>
    <row r="409" spans="1:8" x14ac:dyDescent="0.2">
      <c r="A409" t="s">
        <v>31</v>
      </c>
      <c r="B409" t="s">
        <v>206</v>
      </c>
      <c r="C409" t="s">
        <v>68</v>
      </c>
      <c r="D409" s="11">
        <f>INDEX(PlasticsUse!$B$48:$L$64,MATCH('CompilationCalcs - Di et al.EOL'!$A409,PlasticsUse!$A$48:$A$64,0),MATCH('CompilationCalcs - Di et al.EOL'!$C409,PlasticsUse!$B$47:$L$47,0))</f>
        <v>0.49615707328000008</v>
      </c>
      <c r="E409" s="11" t="str">
        <f>IF('CompilationCalcs - Di et al.EOL'!C409=PlasticsUse!$D$93,Conversions!$A$17,IF('CompilationCalcs - Di et al.EOL'!C409=PlasticsUse!$L$93,Conversions!$A$18,Conversions!$A$16))</f>
        <v>Transfer Station</v>
      </c>
      <c r="F409" s="11">
        <f>INDEX('In-Use Stocks'!$M$81:$V$97,MATCH('CompilationCalcs - Di et al.EOL'!$A409,'In-Use Stocks'!$L$81:$L$97,0),MATCH('CompilationCalcs - Di et al.EOL'!$C409,'In-Use Stocks'!$M$80:$V$80,0))</f>
        <v>0.13944888725784749</v>
      </c>
      <c r="G409" t="s">
        <v>333</v>
      </c>
      <c r="H409" s="11">
        <f>IFERROR(INDEX(EndOfLife!$L$64:$P$78,MATCH($A409,EndOfLife!$A$64:$A$78,0),MATCH($G409,EndOfLife!$L$63:$P$63,0))*INDEX(PlasticsUse!$B$27:$L$41,MATCH('CompilationCalcs - Di et al.EOL'!$A409,PlasticsUse!$A$27:$A$41,0),MATCH('CompilationCalcs - Di et al.EOL'!$C409,PlasticsUse!$B$26:$L$26,0)),0)</f>
        <v>0.1142312756090781</v>
      </c>
    </row>
    <row r="410" spans="1:8" x14ac:dyDescent="0.2">
      <c r="A410" t="s">
        <v>31</v>
      </c>
      <c r="B410" t="s">
        <v>206</v>
      </c>
      <c r="C410" t="s">
        <v>63</v>
      </c>
      <c r="D410" s="11">
        <f>INDEX(PlasticsUse!$B$48:$L$64,MATCH('CompilationCalcs - Di et al.EOL'!$A410,PlasticsUse!$A$48:$A$64,0),MATCH('CompilationCalcs - Di et al.EOL'!$C410,PlasticsUse!$B$47:$L$47,0))</f>
        <v>0.14884712198399999</v>
      </c>
      <c r="E410" s="11" t="str">
        <f>IF('CompilationCalcs - Di et al.EOL'!C410=PlasticsUse!$D$93,Conversions!$A$17,IF('CompilationCalcs - Di et al.EOL'!C410=PlasticsUse!$L$93,Conversions!$A$18,Conversions!$A$16))</f>
        <v>Transfer Station</v>
      </c>
      <c r="F410" s="11">
        <f>INDEX('In-Use Stocks'!$M$81:$V$97,MATCH('CompilationCalcs - Di et al.EOL'!$A410,'In-Use Stocks'!$L$81:$L$97,0),MATCH('CompilationCalcs - Di et al.EOL'!$C410,'In-Use Stocks'!$M$80:$V$80,0))</f>
        <v>1.6875159822696266E-2</v>
      </c>
      <c r="G410" t="s">
        <v>191</v>
      </c>
      <c r="H410" s="11">
        <f>IFERROR(INDEX(EndOfLife!$L$64:$P$78,MATCH($A410,EndOfLife!$A$64:$A$78,0),MATCH($G410,EndOfLife!$L$63:$P$63,0))*INDEX(PlasticsUse!$B$27:$L$41,MATCH('CompilationCalcs - Di et al.EOL'!$A410,PlasticsUse!$A$27:$A$41,0),MATCH('CompilationCalcs - Di et al.EOL'!$C410,PlasticsUse!$B$26:$L$26,0)),0)</f>
        <v>0</v>
      </c>
    </row>
    <row r="411" spans="1:8" x14ac:dyDescent="0.2">
      <c r="A411" t="s">
        <v>31</v>
      </c>
      <c r="B411" t="s">
        <v>206</v>
      </c>
      <c r="C411" t="s">
        <v>92</v>
      </c>
      <c r="D411" s="11">
        <f>INDEX(PlasticsUse!$B$48:$L$64,MATCH('CompilationCalcs - Di et al.EOL'!$A411,PlasticsUse!$A$48:$A$64,0),MATCH('CompilationCalcs - Di et al.EOL'!$C411,PlasticsUse!$B$47:$L$47,0))</f>
        <v>0</v>
      </c>
      <c r="E411" s="11" t="str">
        <f>IF('CompilationCalcs - Di et al.EOL'!C411=PlasticsUse!$D$93,Conversions!$A$17,IF('CompilationCalcs - Di et al.EOL'!C411=PlasticsUse!$L$93,Conversions!$A$18,Conversions!$A$16))</f>
        <v>Transfer Station</v>
      </c>
      <c r="F411" s="11">
        <f>INDEX('In-Use Stocks'!$M$81:$V$97,MATCH('CompilationCalcs - Di et al.EOL'!$A411,'In-Use Stocks'!$L$81:$L$97,0),MATCH('CompilationCalcs - Di et al.EOL'!$C411,'In-Use Stocks'!$M$80:$V$80,0))</f>
        <v>0</v>
      </c>
      <c r="G411" t="s">
        <v>191</v>
      </c>
      <c r="H411" s="11">
        <f>IFERROR(INDEX(EndOfLife!$L$64:$P$78,MATCH($A411,EndOfLife!$A$64:$A$78,0),MATCH($G411,EndOfLife!$L$63:$P$63,0))*INDEX(PlasticsUse!$B$27:$L$41,MATCH('CompilationCalcs - Di et al.EOL'!$A411,PlasticsUse!$A$27:$A$41,0),MATCH('CompilationCalcs - Di et al.EOL'!$C411,PlasticsUse!$B$26:$L$26,0)),0)</f>
        <v>0</v>
      </c>
    </row>
    <row r="412" spans="1:8" x14ac:dyDescent="0.2">
      <c r="A412" t="s">
        <v>31</v>
      </c>
      <c r="B412" t="s">
        <v>206</v>
      </c>
      <c r="C412" t="s">
        <v>103</v>
      </c>
      <c r="D412" s="11">
        <f>INDEX(PlasticsUse!$B$48:$L$64,MATCH('CompilationCalcs - Di et al.EOL'!$A412,PlasticsUse!$A$48:$A$64,0),MATCH('CompilationCalcs - Di et al.EOL'!$C412,PlasticsUse!$B$47:$L$47,0))</f>
        <v>0</v>
      </c>
      <c r="E412" s="11" t="str">
        <f>IF('CompilationCalcs - Di et al.EOL'!C412=PlasticsUse!$D$93,Conversions!$A$17,IF('CompilationCalcs - Di et al.EOL'!C412=PlasticsUse!$L$93,Conversions!$A$18,Conversions!$A$16))</f>
        <v>Transfer Station</v>
      </c>
      <c r="F412" s="11">
        <f>INDEX('In-Use Stocks'!$M$81:$V$97,MATCH('CompilationCalcs - Di et al.EOL'!$A412,'In-Use Stocks'!$L$81:$L$97,0),MATCH('CompilationCalcs - Di et al.EOL'!$C412,'In-Use Stocks'!$M$80:$V$80,0))</f>
        <v>0.54781120484008372</v>
      </c>
      <c r="G412" t="s">
        <v>191</v>
      </c>
      <c r="H412" s="11">
        <f>IFERROR(INDEX(EndOfLife!$L$64:$P$78,MATCH($A412,EndOfLife!$A$64:$A$78,0),MATCH($G412,EndOfLife!$L$63:$P$63,0))*INDEX(PlasticsUse!$B$27:$L$41,MATCH('CompilationCalcs - Di et al.EOL'!$A412,PlasticsUse!$A$27:$A$41,0),MATCH('CompilationCalcs - Di et al.EOL'!$C412,PlasticsUse!$B$26:$L$26,0)),0)</f>
        <v>0</v>
      </c>
    </row>
    <row r="413" spans="1:8" x14ac:dyDescent="0.2">
      <c r="A413" t="s">
        <v>31</v>
      </c>
      <c r="B413" t="s">
        <v>206</v>
      </c>
      <c r="C413" t="s">
        <v>86</v>
      </c>
      <c r="D413" s="11">
        <f>INDEX(PlasticsUse!$B$48:$L$64,MATCH('CompilationCalcs - Di et al.EOL'!$A413,PlasticsUse!$A$48:$A$64,0),MATCH('CompilationCalcs - Di et al.EOL'!$C413,PlasticsUse!$B$47:$L$47,0))</f>
        <v>6.3147263871999842E-2</v>
      </c>
      <c r="E413" s="11" t="str">
        <f>IF('CompilationCalcs - Di et al.EOL'!C413=PlasticsUse!$D$93,Conversions!$A$17,IF('CompilationCalcs - Di et al.EOL'!C413=PlasticsUse!$L$93,Conversions!$A$18,Conversions!$A$16))</f>
        <v>Transfer Station</v>
      </c>
      <c r="F413" s="11">
        <f>INDEX('In-Use Stocks'!$M$81:$V$97,MATCH('CompilationCalcs - Di et al.EOL'!$A413,'In-Use Stocks'!$L$81:$L$97,0),MATCH('CompilationCalcs - Di et al.EOL'!$C413,'In-Use Stocks'!$M$80:$V$80,0))</f>
        <v>0</v>
      </c>
      <c r="G413" t="s">
        <v>191</v>
      </c>
      <c r="H413" s="11">
        <f>IFERROR(INDEX(EndOfLife!$L$64:$P$78,MATCH($A413,EndOfLife!$A$64:$A$78,0),MATCH($G413,EndOfLife!$L$63:$P$63,0))*INDEX(PlasticsUse!$B$27:$L$41,MATCH('CompilationCalcs - Di et al.EOL'!$A413,PlasticsUse!$A$27:$A$41,0),MATCH('CompilationCalcs - Di et al.EOL'!$C413,PlasticsUse!$B$26:$L$26,0)),0)</f>
        <v>0</v>
      </c>
    </row>
    <row r="414" spans="1:8" x14ac:dyDescent="0.2">
      <c r="A414" t="s">
        <v>31</v>
      </c>
      <c r="B414" t="s">
        <v>206</v>
      </c>
      <c r="C414" t="s">
        <v>18</v>
      </c>
      <c r="D414" s="11">
        <f>INDEX(PlasticsUse!$B$48:$L$64,MATCH('CompilationCalcs - Di et al.EOL'!$A414,PlasticsUse!$A$48:$A$64,0),MATCH('CompilationCalcs - Di et al.EOL'!$C414,PlasticsUse!$B$47:$L$47,0))</f>
        <v>0</v>
      </c>
      <c r="E414" s="11" t="str">
        <f>IF('CompilationCalcs - Di et al.EOL'!C414=PlasticsUse!$D$93,Conversions!$A$17,IF('CompilationCalcs - Di et al.EOL'!C414=PlasticsUse!$L$93,Conversions!$A$18,Conversions!$A$16))</f>
        <v>N/A</v>
      </c>
      <c r="F414" s="11">
        <f t="shared" ref="F414:F473" si="7">D414</f>
        <v>0</v>
      </c>
      <c r="G414" t="s">
        <v>287</v>
      </c>
      <c r="H414" s="11">
        <f>IFERROR(INDEX(EndOfLife!$L$64:$P$78,MATCH($A414,EndOfLife!$A$64:$A$78,0),MATCH($G414,EndOfLife!$L$63:$P$63,0))*INDEX(PlasticsUse!$B$27:$L$41,MATCH('CompilationCalcs - Di et al.EOL'!$A414,PlasticsUse!$A$27:$A$41,0),MATCH('CompilationCalcs - Di et al.EOL'!$C414,PlasticsUse!$B$26:$L$26,0)),0)</f>
        <v>0</v>
      </c>
    </row>
    <row r="415" spans="1:8" x14ac:dyDescent="0.2">
      <c r="A415" t="s">
        <v>31</v>
      </c>
      <c r="B415" t="s">
        <v>207</v>
      </c>
      <c r="C415" t="s">
        <v>38</v>
      </c>
      <c r="D415" s="11"/>
      <c r="E415" s="11" t="str">
        <f>IF('CompilationCalcs - Di et al.EOL'!C415=PlasticsUse!$D$93,Conversions!$A$17,IF('CompilationCalcs - Di et al.EOL'!C415=PlasticsUse!$L$93,Conversions!$A$18,Conversions!$A$16))</f>
        <v>Transfer Station</v>
      </c>
      <c r="F415" s="11">
        <f t="shared" si="7"/>
        <v>0</v>
      </c>
      <c r="G415" t="s">
        <v>5</v>
      </c>
      <c r="H415" s="11">
        <f>IFERROR(INDEX(EndOfLife!$L$64:$P$78,MATCH($A415,EndOfLife!$A$64:$A$78,0),MATCH($G415,EndOfLife!$L$63:$P$63,0))*INDEX(PlasticsUse!$B$27:$L$41,MATCH('CompilationCalcs - Di et al.EOL'!$A415,PlasticsUse!$A$27:$A$41,0),MATCH('CompilationCalcs - Di et al.EOL'!$C415,PlasticsUse!$B$26:$L$26,0)),0)</f>
        <v>4.1192816141132765E-3</v>
      </c>
    </row>
    <row r="416" spans="1:8" x14ac:dyDescent="0.2">
      <c r="A416" t="s">
        <v>31</v>
      </c>
      <c r="B416" t="s">
        <v>207</v>
      </c>
      <c r="C416" t="s">
        <v>99</v>
      </c>
      <c r="D416" s="11"/>
      <c r="E416" s="11" t="str">
        <f>IF('CompilationCalcs - Di et al.EOL'!C416=PlasticsUse!$D$93,Conversions!$A$17,IF('CompilationCalcs - Di et al.EOL'!C416=PlasticsUse!$L$93,Conversions!$A$18,Conversions!$A$16))</f>
        <v>Transfer Station</v>
      </c>
      <c r="F416" s="11">
        <f t="shared" si="7"/>
        <v>0</v>
      </c>
      <c r="G416" t="s">
        <v>5</v>
      </c>
      <c r="H416" s="11">
        <f>IFERROR(INDEX(EndOfLife!$L$64:$P$78,MATCH($A416,EndOfLife!$A$64:$A$78,0),MATCH($G416,EndOfLife!$L$63:$P$63,0))*INDEX(PlasticsUse!$B$27:$L$41,MATCH('CompilationCalcs - Di et al.EOL'!$A416,PlasticsUse!$A$27:$A$41,0),MATCH('CompilationCalcs - Di et al.EOL'!$C416,PlasticsUse!$B$26:$L$26,0)),0)</f>
        <v>0</v>
      </c>
    </row>
    <row r="417" spans="1:8" x14ac:dyDescent="0.2">
      <c r="A417" t="s">
        <v>31</v>
      </c>
      <c r="B417" t="s">
        <v>207</v>
      </c>
      <c r="C417" t="s">
        <v>69</v>
      </c>
      <c r="D417" s="11"/>
      <c r="E417" s="11" t="str">
        <f>IF('CompilationCalcs - Di et al.EOL'!C417=PlasticsUse!$D$93,Conversions!$A$17,IF('CompilationCalcs - Di et al.EOL'!C417=PlasticsUse!$L$93,Conversions!$A$18,Conversions!$A$16))</f>
        <v>Automotive Shredding Facility</v>
      </c>
      <c r="F417" s="11">
        <f t="shared" si="7"/>
        <v>0</v>
      </c>
      <c r="G417" t="s">
        <v>5</v>
      </c>
      <c r="H417" s="11">
        <f>IFERROR(INDEX(EndOfLife!$L$64:$P$78,MATCH($A417,EndOfLife!$A$64:$A$78,0),MATCH($G417,EndOfLife!$L$63:$P$63,0))*INDEX(PlasticsUse!$B$27:$L$41,MATCH('CompilationCalcs - Di et al.EOL'!$A417,PlasticsUse!$A$27:$A$41,0),MATCH('CompilationCalcs - Di et al.EOL'!$C417,PlasticsUse!$B$26:$L$26,0)),0)</f>
        <v>1.3593629326573813E-2</v>
      </c>
    </row>
    <row r="418" spans="1:8" x14ac:dyDescent="0.2">
      <c r="A418" t="s">
        <v>31</v>
      </c>
      <c r="B418" t="s">
        <v>207</v>
      </c>
      <c r="C418" t="s">
        <v>100</v>
      </c>
      <c r="D418" s="11"/>
      <c r="E418" s="11" t="str">
        <f>IF('CompilationCalcs - Di et al.EOL'!C418=PlasticsUse!$D$93,Conversions!$A$17,IF('CompilationCalcs - Di et al.EOL'!C418=PlasticsUse!$L$93,Conversions!$A$18,Conversions!$A$16))</f>
        <v>Transfer Station</v>
      </c>
      <c r="F418" s="11">
        <f t="shared" si="7"/>
        <v>0</v>
      </c>
      <c r="G418" t="s">
        <v>5</v>
      </c>
      <c r="H418" s="11">
        <f>IFERROR(INDEX(EndOfLife!$L$64:$P$78,MATCH($A418,EndOfLife!$A$64:$A$78,0),MATCH($G418,EndOfLife!$L$63:$P$63,0))*INDEX(PlasticsUse!$B$27:$L$41,MATCH('CompilationCalcs - Di et al.EOL'!$A418,PlasticsUse!$A$27:$A$41,0),MATCH('CompilationCalcs - Di et al.EOL'!$C418,PlasticsUse!$B$26:$L$26,0)),0)</f>
        <v>0</v>
      </c>
    </row>
    <row r="419" spans="1:8" x14ac:dyDescent="0.2">
      <c r="A419" t="s">
        <v>31</v>
      </c>
      <c r="B419" t="s">
        <v>207</v>
      </c>
      <c r="C419" t="s">
        <v>39</v>
      </c>
      <c r="D419" s="11"/>
      <c r="E419" s="11" t="str">
        <f>IF('CompilationCalcs - Di et al.EOL'!C419=PlasticsUse!$D$93,Conversions!$A$17,IF('CompilationCalcs - Di et al.EOL'!C419=PlasticsUse!$L$93,Conversions!$A$18,Conversions!$A$16))</f>
        <v>Transfer Station</v>
      </c>
      <c r="F419" s="11">
        <f t="shared" si="7"/>
        <v>0</v>
      </c>
      <c r="G419" t="s">
        <v>5</v>
      </c>
      <c r="H419" s="11">
        <f>IFERROR(INDEX(EndOfLife!$L$64:$P$78,MATCH($A419,EndOfLife!$A$64:$A$78,0),MATCH($G419,EndOfLife!$L$63:$P$63,0))*INDEX(PlasticsUse!$B$27:$L$41,MATCH('CompilationCalcs - Di et al.EOL'!$A419,PlasticsUse!$A$27:$A$41,0),MATCH('CompilationCalcs - Di et al.EOL'!$C419,PlasticsUse!$B$26:$L$26,0)),0)</f>
        <v>0</v>
      </c>
    </row>
    <row r="420" spans="1:8" x14ac:dyDescent="0.2">
      <c r="A420" t="s">
        <v>31</v>
      </c>
      <c r="B420" t="s">
        <v>207</v>
      </c>
      <c r="C420" t="s">
        <v>63</v>
      </c>
      <c r="D420" s="11"/>
      <c r="E420" s="11" t="str">
        <f>IF('CompilationCalcs - Di et al.EOL'!C420=PlasticsUse!$D$93,Conversions!$A$17,IF('CompilationCalcs - Di et al.EOL'!C420=PlasticsUse!$L$93,Conversions!$A$18,Conversions!$A$16))</f>
        <v>Transfer Station</v>
      </c>
      <c r="F420" s="11">
        <f t="shared" si="7"/>
        <v>0</v>
      </c>
      <c r="G420" t="s">
        <v>5</v>
      </c>
      <c r="H420" s="11">
        <f>IFERROR(INDEX(EndOfLife!$L$64:$P$78,MATCH($A420,EndOfLife!$A$64:$A$78,0),MATCH($G420,EndOfLife!$L$63:$P$63,0))*INDEX(PlasticsUse!$B$27:$L$41,MATCH('CompilationCalcs - Di et al.EOL'!$A420,PlasticsUse!$A$27:$A$41,0),MATCH('CompilationCalcs - Di et al.EOL'!$C420,PlasticsUse!$B$26:$L$26,0)),0)</f>
        <v>1.3593629326573813E-2</v>
      </c>
    </row>
    <row r="421" spans="1:8" x14ac:dyDescent="0.2">
      <c r="A421" t="s">
        <v>31</v>
      </c>
      <c r="B421" t="s">
        <v>207</v>
      </c>
      <c r="C421" t="s">
        <v>92</v>
      </c>
      <c r="D421" s="11"/>
      <c r="E421" s="11" t="str">
        <f>IF('CompilationCalcs - Di et al.EOL'!C421=PlasticsUse!$D$93,Conversions!$A$17,IF('CompilationCalcs - Di et al.EOL'!C421=PlasticsUse!$L$93,Conversions!$A$18,Conversions!$A$16))</f>
        <v>Transfer Station</v>
      </c>
      <c r="F421" s="11">
        <f t="shared" si="7"/>
        <v>0</v>
      </c>
      <c r="G421" t="s">
        <v>5</v>
      </c>
      <c r="H421" s="11">
        <f>IFERROR(INDEX(EndOfLife!$L$64:$P$78,MATCH($A421,EndOfLife!$A$64:$A$78,0),MATCH($G421,EndOfLife!$L$63:$P$63,0))*INDEX(PlasticsUse!$B$27:$L$41,MATCH('CompilationCalcs - Di et al.EOL'!$A421,PlasticsUse!$A$27:$A$41,0),MATCH('CompilationCalcs - Di et al.EOL'!$C421,PlasticsUse!$B$26:$L$26,0)),0)</f>
        <v>0</v>
      </c>
    </row>
    <row r="422" spans="1:8" x14ac:dyDescent="0.2">
      <c r="A422" t="s">
        <v>31</v>
      </c>
      <c r="B422" t="s">
        <v>207</v>
      </c>
      <c r="C422" t="s">
        <v>103</v>
      </c>
      <c r="D422" s="11"/>
      <c r="E422" s="11" t="str">
        <f>IF('CompilationCalcs - Di et al.EOL'!C422=PlasticsUse!$D$93,Conversions!$A$17,IF('CompilationCalcs - Di et al.EOL'!C422=PlasticsUse!$L$93,Conversions!$A$18,Conversions!$A$16))</f>
        <v>Transfer Station</v>
      </c>
      <c r="F422" s="11">
        <f t="shared" si="7"/>
        <v>0</v>
      </c>
      <c r="G422" t="s">
        <v>5</v>
      </c>
      <c r="H422" s="11">
        <f>IFERROR(INDEX(EndOfLife!$L$64:$P$78,MATCH($A422,EndOfLife!$A$64:$A$78,0),MATCH($G422,EndOfLife!$L$63:$P$63,0))*INDEX(PlasticsUse!$B$27:$L$41,MATCH('CompilationCalcs - Di et al.EOL'!$A422,PlasticsUse!$A$27:$A$41,0),MATCH('CompilationCalcs - Di et al.EOL'!$C422,PlasticsUse!$B$26:$L$26,0)),0)</f>
        <v>0</v>
      </c>
    </row>
    <row r="423" spans="1:8" x14ac:dyDescent="0.2">
      <c r="A423" t="s">
        <v>31</v>
      </c>
      <c r="B423" t="s">
        <v>207</v>
      </c>
      <c r="C423" t="s">
        <v>86</v>
      </c>
      <c r="D423" s="11"/>
      <c r="E423" s="11" t="str">
        <f>IF('CompilationCalcs - Di et al.EOL'!C423=PlasticsUse!$D$93,Conversions!$A$17,IF('CompilationCalcs - Di et al.EOL'!C423=PlasticsUse!$L$93,Conversions!$A$18,Conversions!$A$16))</f>
        <v>Transfer Station</v>
      </c>
      <c r="F423" s="11">
        <f t="shared" si="7"/>
        <v>0</v>
      </c>
      <c r="G423" t="s">
        <v>5</v>
      </c>
      <c r="H423" s="11">
        <f>IFERROR(INDEX(EndOfLife!$L$64:$P$78,MATCH($A423,EndOfLife!$A$64:$A$78,0),MATCH($G423,EndOfLife!$L$63:$P$63,0))*INDEX(PlasticsUse!$B$27:$L$41,MATCH('CompilationCalcs - Di et al.EOL'!$A423,PlasticsUse!$A$27:$A$41,0),MATCH('CompilationCalcs - Di et al.EOL'!$C423,PlasticsUse!$B$26:$L$26,0)),0)</f>
        <v>5.7669942597585741E-3</v>
      </c>
    </row>
    <row r="424" spans="1:8" x14ac:dyDescent="0.2">
      <c r="A424" t="s">
        <v>31</v>
      </c>
      <c r="B424" t="s">
        <v>207</v>
      </c>
      <c r="C424" t="s">
        <v>18</v>
      </c>
      <c r="D424" s="11"/>
      <c r="E424" s="11" t="str">
        <f>IF('CompilationCalcs - Di et al.EOL'!C424=PlasticsUse!$D$93,Conversions!$A$17,IF('CompilationCalcs - Di et al.EOL'!C424=PlasticsUse!$L$93,Conversions!$A$18,Conversions!$A$16))</f>
        <v>N/A</v>
      </c>
      <c r="F424" s="11">
        <f t="shared" si="7"/>
        <v>0</v>
      </c>
      <c r="G424" t="s">
        <v>287</v>
      </c>
      <c r="H424" s="11">
        <f>IFERROR(INDEX(EndOfLife!$L$64:$P$78,MATCH($A424,EndOfLife!$A$64:$A$78,0),MATCH($G424,EndOfLife!$L$63:$P$63,0))*INDEX(PlasticsUse!$B$27:$L$41,MATCH('CompilationCalcs - Di et al.EOL'!$A424,PlasticsUse!$A$27:$A$41,0),MATCH('CompilationCalcs - Di et al.EOL'!$C424,PlasticsUse!$B$26:$L$26,0)),0)</f>
        <v>0</v>
      </c>
    </row>
    <row r="425" spans="1:8" x14ac:dyDescent="0.2">
      <c r="A425" t="s">
        <v>31</v>
      </c>
      <c r="B425" t="s">
        <v>207</v>
      </c>
      <c r="C425" t="s">
        <v>99</v>
      </c>
      <c r="D425" s="11"/>
      <c r="E425" s="11" t="str">
        <f>IF('CompilationCalcs - Di et al.EOL'!C425=PlasticsUse!$D$93,Conversions!$A$17,IF('CompilationCalcs - Di et al.EOL'!C425=PlasticsUse!$L$93,Conversions!$A$18,Conversions!$A$16))</f>
        <v>Transfer Station</v>
      </c>
      <c r="F425" s="11">
        <f t="shared" si="7"/>
        <v>0</v>
      </c>
      <c r="G425" t="s">
        <v>6</v>
      </c>
      <c r="H425" s="11">
        <f>IFERROR(INDEX(EndOfLife!$L$64:$P$78,MATCH($A425,EndOfLife!$A$64:$A$78,0),MATCH($G425,EndOfLife!$L$63:$P$63,0))*INDEX(PlasticsUse!$B$27:$L$41,MATCH('CompilationCalcs - Di et al.EOL'!$A425,PlasticsUse!$A$27:$A$41,0),MATCH('CompilationCalcs - Di et al.EOL'!$C425,PlasticsUse!$B$26:$L$26,0)),0)</f>
        <v>0</v>
      </c>
    </row>
    <row r="426" spans="1:8" x14ac:dyDescent="0.2">
      <c r="A426" t="s">
        <v>31</v>
      </c>
      <c r="B426" t="s">
        <v>207</v>
      </c>
      <c r="C426" t="s">
        <v>69</v>
      </c>
      <c r="D426" s="11"/>
      <c r="E426" s="11" t="str">
        <f>IF('CompilationCalcs - Di et al.EOL'!C426=PlasticsUse!$D$93,Conversions!$A$17,IF('CompilationCalcs - Di et al.EOL'!C426=PlasticsUse!$L$93,Conversions!$A$18,Conversions!$A$16))</f>
        <v>Automotive Shredding Facility</v>
      </c>
      <c r="F426" s="11">
        <f t="shared" si="7"/>
        <v>0</v>
      </c>
      <c r="G426" t="s">
        <v>6</v>
      </c>
      <c r="H426" s="11">
        <f>IFERROR(INDEX(EndOfLife!$L$64:$P$78,MATCH($A426,EndOfLife!$A$64:$A$78,0),MATCH($G426,EndOfLife!$L$63:$P$63,0))*INDEX(PlasticsUse!$B$27:$L$41,MATCH('CompilationCalcs - Di et al.EOL'!$A426,PlasticsUse!$A$27:$A$41,0),MATCH('CompilationCalcs - Di et al.EOL'!$C426,PlasticsUse!$B$26:$L$26,0)),0)</f>
        <v>0.11397586724795623</v>
      </c>
    </row>
    <row r="427" spans="1:8" x14ac:dyDescent="0.2">
      <c r="A427" t="s">
        <v>31</v>
      </c>
      <c r="B427" t="s">
        <v>207</v>
      </c>
      <c r="C427" t="s">
        <v>100</v>
      </c>
      <c r="D427" s="11"/>
      <c r="E427" s="11" t="str">
        <f>IF('CompilationCalcs - Di et al.EOL'!C427=PlasticsUse!$D$93,Conversions!$A$17,IF('CompilationCalcs - Di et al.EOL'!C427=PlasticsUse!$L$93,Conversions!$A$18,Conversions!$A$16))</f>
        <v>Transfer Station</v>
      </c>
      <c r="F427" s="11">
        <f t="shared" si="7"/>
        <v>0</v>
      </c>
      <c r="G427" t="s">
        <v>6</v>
      </c>
      <c r="H427" s="11">
        <f>IFERROR(INDEX(EndOfLife!$L$64:$P$78,MATCH($A427,EndOfLife!$A$64:$A$78,0),MATCH($G427,EndOfLife!$L$63:$P$63,0))*INDEX(PlasticsUse!$B$27:$L$41,MATCH('CompilationCalcs - Di et al.EOL'!$A427,PlasticsUse!$A$27:$A$41,0),MATCH('CompilationCalcs - Di et al.EOL'!$C427,PlasticsUse!$B$26:$L$26,0)),0)</f>
        <v>0</v>
      </c>
    </row>
    <row r="428" spans="1:8" x14ac:dyDescent="0.2">
      <c r="A428" t="s">
        <v>31</v>
      </c>
      <c r="B428" t="s">
        <v>207</v>
      </c>
      <c r="C428" t="s">
        <v>39</v>
      </c>
      <c r="D428" s="11"/>
      <c r="E428" s="11" t="str">
        <f>IF('CompilationCalcs - Di et al.EOL'!C428=PlasticsUse!$D$93,Conversions!$A$17,IF('CompilationCalcs - Di et al.EOL'!C428=PlasticsUse!$L$93,Conversions!$A$18,Conversions!$A$16))</f>
        <v>Transfer Station</v>
      </c>
      <c r="F428" s="11">
        <f t="shared" si="7"/>
        <v>0</v>
      </c>
      <c r="G428" t="s">
        <v>6</v>
      </c>
      <c r="H428" s="11">
        <f>IFERROR(INDEX(EndOfLife!$L$64:$P$78,MATCH($A428,EndOfLife!$A$64:$A$78,0),MATCH($G428,EndOfLife!$L$63:$P$63,0))*INDEX(PlasticsUse!$B$27:$L$41,MATCH('CompilationCalcs - Di et al.EOL'!$A428,PlasticsUse!$A$27:$A$41,0),MATCH('CompilationCalcs - Di et al.EOL'!$C428,PlasticsUse!$B$26:$L$26,0)),0)</f>
        <v>0</v>
      </c>
    </row>
    <row r="429" spans="1:8" x14ac:dyDescent="0.2">
      <c r="A429" t="s">
        <v>31</v>
      </c>
      <c r="B429" t="s">
        <v>207</v>
      </c>
      <c r="C429" t="s">
        <v>68</v>
      </c>
      <c r="D429" s="11"/>
      <c r="E429" s="11" t="str">
        <f>IF('CompilationCalcs - Di et al.EOL'!C429=PlasticsUse!$D$93,Conversions!$A$17,IF('CompilationCalcs - Di et al.EOL'!C429=PlasticsUse!$L$93,Conversions!$A$18,Conversions!$A$16))</f>
        <v>Transfer Station</v>
      </c>
      <c r="F429" s="11">
        <f t="shared" si="7"/>
        <v>0</v>
      </c>
      <c r="G429" t="s">
        <v>6</v>
      </c>
      <c r="H429" s="11">
        <f>IFERROR(INDEX(EndOfLife!$L$64:$P$78,MATCH($A429,EndOfLife!$A$64:$A$78,0),MATCH($G429,EndOfLife!$L$63:$P$63,0))*INDEX(PlasticsUse!$B$27:$L$41,MATCH('CompilationCalcs - Di et al.EOL'!$A429,PlasticsUse!$A$27:$A$41,0),MATCH('CompilationCalcs - Di et al.EOL'!$C429,PlasticsUse!$B$26:$L$26,0)),0)</f>
        <v>0.37991955749318745</v>
      </c>
    </row>
    <row r="430" spans="1:8" x14ac:dyDescent="0.2">
      <c r="A430" t="s">
        <v>31</v>
      </c>
      <c r="B430" t="s">
        <v>207</v>
      </c>
      <c r="C430" t="s">
        <v>63</v>
      </c>
      <c r="D430" s="11"/>
      <c r="E430" s="11" t="str">
        <f>IF('CompilationCalcs - Di et al.EOL'!C430=PlasticsUse!$D$93,Conversions!$A$17,IF('CompilationCalcs - Di et al.EOL'!C430=PlasticsUse!$L$93,Conversions!$A$18,Conversions!$A$16))</f>
        <v>Transfer Station</v>
      </c>
      <c r="F430" s="11">
        <f t="shared" si="7"/>
        <v>0</v>
      </c>
      <c r="G430" t="s">
        <v>6</v>
      </c>
      <c r="H430" s="11">
        <f>IFERROR(INDEX(EndOfLife!$L$64:$P$78,MATCH($A430,EndOfLife!$A$64:$A$78,0),MATCH($G430,EndOfLife!$L$63:$P$63,0))*INDEX(PlasticsUse!$B$27:$L$41,MATCH('CompilationCalcs - Di et al.EOL'!$A430,PlasticsUse!$A$27:$A$41,0),MATCH('CompilationCalcs - Di et al.EOL'!$C430,PlasticsUse!$B$26:$L$26,0)),0)</f>
        <v>0.11397586724795623</v>
      </c>
    </row>
    <row r="431" spans="1:8" x14ac:dyDescent="0.2">
      <c r="A431" t="s">
        <v>31</v>
      </c>
      <c r="B431" t="s">
        <v>207</v>
      </c>
      <c r="C431" t="s">
        <v>92</v>
      </c>
      <c r="D431" s="11"/>
      <c r="E431" s="11" t="str">
        <f>IF('CompilationCalcs - Di et al.EOL'!C431=PlasticsUse!$D$93,Conversions!$A$17,IF('CompilationCalcs - Di et al.EOL'!C431=PlasticsUse!$L$93,Conversions!$A$18,Conversions!$A$16))</f>
        <v>Transfer Station</v>
      </c>
      <c r="F431" s="11">
        <f t="shared" si="7"/>
        <v>0</v>
      </c>
      <c r="G431" t="s">
        <v>6</v>
      </c>
      <c r="H431" s="11">
        <f>IFERROR(INDEX(EndOfLife!$L$64:$P$78,MATCH($A431,EndOfLife!$A$64:$A$78,0),MATCH($G431,EndOfLife!$L$63:$P$63,0))*INDEX(PlasticsUse!$B$27:$L$41,MATCH('CompilationCalcs - Di et al.EOL'!$A431,PlasticsUse!$A$27:$A$41,0),MATCH('CompilationCalcs - Di et al.EOL'!$C431,PlasticsUse!$B$26:$L$26,0)),0)</f>
        <v>0</v>
      </c>
    </row>
    <row r="432" spans="1:8" x14ac:dyDescent="0.2">
      <c r="A432" t="s">
        <v>31</v>
      </c>
      <c r="B432" t="s">
        <v>207</v>
      </c>
      <c r="C432" t="s">
        <v>103</v>
      </c>
      <c r="D432" s="11"/>
      <c r="E432" s="11" t="str">
        <f>IF('CompilationCalcs - Di et al.EOL'!C432=PlasticsUse!$D$93,Conversions!$A$17,IF('CompilationCalcs - Di et al.EOL'!C432=PlasticsUse!$L$93,Conversions!$A$18,Conversions!$A$16))</f>
        <v>Transfer Station</v>
      </c>
      <c r="F432" s="11">
        <f t="shared" si="7"/>
        <v>0</v>
      </c>
      <c r="G432" t="s">
        <v>6</v>
      </c>
      <c r="H432" s="11">
        <f>IFERROR(INDEX(EndOfLife!$L$64:$P$78,MATCH($A432,EndOfLife!$A$64:$A$78,0),MATCH($G432,EndOfLife!$L$63:$P$63,0))*INDEX(PlasticsUse!$B$27:$L$41,MATCH('CompilationCalcs - Di et al.EOL'!$A432,PlasticsUse!$A$27:$A$41,0),MATCH('CompilationCalcs - Di et al.EOL'!$C432,PlasticsUse!$B$26:$L$26,0)),0)</f>
        <v>0</v>
      </c>
    </row>
    <row r="433" spans="1:8" x14ac:dyDescent="0.2">
      <c r="A433" t="s">
        <v>31</v>
      </c>
      <c r="B433" t="s">
        <v>207</v>
      </c>
      <c r="C433" t="s">
        <v>86</v>
      </c>
      <c r="D433" s="11"/>
      <c r="E433" s="11" t="str">
        <f>IF('CompilationCalcs - Di et al.EOL'!C433=PlasticsUse!$D$93,Conversions!$A$17,IF('CompilationCalcs - Di et al.EOL'!C433=PlasticsUse!$L$93,Conversions!$A$18,Conversions!$A$16))</f>
        <v>Transfer Station</v>
      </c>
      <c r="F433" s="11">
        <f t="shared" si="7"/>
        <v>0</v>
      </c>
      <c r="G433" t="s">
        <v>6</v>
      </c>
      <c r="H433" s="11">
        <f>IFERROR(INDEX(EndOfLife!$L$64:$P$78,MATCH($A433,EndOfLife!$A$64:$A$78,0),MATCH($G433,EndOfLife!$L$63:$P$63,0))*INDEX(PlasticsUse!$B$27:$L$41,MATCH('CompilationCalcs - Di et al.EOL'!$A433,PlasticsUse!$A$27:$A$41,0),MATCH('CompilationCalcs - Di et al.EOL'!$C433,PlasticsUse!$B$26:$L$26,0)),0)</f>
        <v>4.8353398226405567E-2</v>
      </c>
    </row>
    <row r="434" spans="1:8" x14ac:dyDescent="0.2">
      <c r="A434" t="s">
        <v>31</v>
      </c>
      <c r="B434" t="s">
        <v>207</v>
      </c>
      <c r="C434" t="s">
        <v>18</v>
      </c>
      <c r="D434" s="11"/>
      <c r="E434" s="11" t="str">
        <f>IF('CompilationCalcs - Di et al.EOL'!C434=PlasticsUse!$D$93,Conversions!$A$17,IF('CompilationCalcs - Di et al.EOL'!C434=PlasticsUse!$L$93,Conversions!$A$18,Conversions!$A$16))</f>
        <v>N/A</v>
      </c>
      <c r="F434" s="11">
        <f t="shared" si="7"/>
        <v>0</v>
      </c>
      <c r="G434" t="s">
        <v>287</v>
      </c>
      <c r="H434" s="11">
        <f>IFERROR(INDEX(EndOfLife!$L$64:$P$78,MATCH($A434,EndOfLife!$A$64:$A$78,0),MATCH($G434,EndOfLife!$L$63:$P$63,0))*INDEX(PlasticsUse!$B$27:$L$41,MATCH('CompilationCalcs - Di et al.EOL'!$A434,PlasticsUse!$A$27:$A$41,0),MATCH('CompilationCalcs - Di et al.EOL'!$C434,PlasticsUse!$B$26:$L$26,0)),0)</f>
        <v>0</v>
      </c>
    </row>
    <row r="435" spans="1:8" ht="17" x14ac:dyDescent="0.2">
      <c r="A435" t="s">
        <v>31</v>
      </c>
      <c r="B435" t="s">
        <v>207</v>
      </c>
      <c r="E435" s="11" t="s">
        <v>191</v>
      </c>
      <c r="F435" s="11">
        <f t="shared" si="7"/>
        <v>0</v>
      </c>
      <c r="G435" s="28" t="s">
        <v>360</v>
      </c>
      <c r="H435" s="11">
        <f>INDEX(EndOfLife!$T$64:$X$78,MATCH('CompilationCalcs - Di et al.EOL'!$A435,EndOfLife!$S$64:$S$78,0),MATCH('CompilationCalcs - Di et al.EOL'!$G435,EndOfLife!$T$63:$X$63,0))</f>
        <v>0</v>
      </c>
    </row>
    <row r="436" spans="1:8" ht="17" x14ac:dyDescent="0.2">
      <c r="A436" t="s">
        <v>31</v>
      </c>
      <c r="B436" t="s">
        <v>207</v>
      </c>
      <c r="E436" s="11" t="s">
        <v>191</v>
      </c>
      <c r="F436" s="11">
        <f t="shared" si="7"/>
        <v>0</v>
      </c>
      <c r="G436" s="28" t="s">
        <v>361</v>
      </c>
      <c r="H436" s="11">
        <f>INDEX(EndOfLife!$T$64:$X$78,MATCH('CompilationCalcs - Di et al.EOL'!$A436,EndOfLife!$S$64:$S$78,0),MATCH('CompilationCalcs - Di et al.EOL'!$G436,EndOfLife!$T$63:$X$63,0))</f>
        <v>0</v>
      </c>
    </row>
    <row r="437" spans="1:8" ht="17" x14ac:dyDescent="0.2">
      <c r="A437" t="s">
        <v>31</v>
      </c>
      <c r="B437" t="s">
        <v>207</v>
      </c>
      <c r="E437" s="11" t="s">
        <v>360</v>
      </c>
      <c r="F437" s="11">
        <f t="shared" si="7"/>
        <v>0</v>
      </c>
      <c r="G437" s="28" t="s">
        <v>192</v>
      </c>
      <c r="H437" s="11">
        <f>INDEX(EndOfLife!$T$64:$X$78,MATCH('CompilationCalcs - Di et al.EOL'!$A437,EndOfLife!$S$64:$S$78,0),MATCH('CompilationCalcs - Di et al.EOL'!$G437,EndOfLife!$T$63:$X$63,0))</f>
        <v>0</v>
      </c>
    </row>
    <row r="438" spans="1:8" ht="17" x14ac:dyDescent="0.2">
      <c r="A438" t="s">
        <v>31</v>
      </c>
      <c r="B438" t="s">
        <v>207</v>
      </c>
      <c r="E438" s="11" t="s">
        <v>191</v>
      </c>
      <c r="F438" s="11">
        <f t="shared" si="7"/>
        <v>0</v>
      </c>
      <c r="G438" s="28" t="s">
        <v>193</v>
      </c>
      <c r="H438" s="11">
        <f>INDEX(EndOfLife!$T$64:$X$78,MATCH('CompilationCalcs - Di et al.EOL'!$A438,EndOfLife!$S$64:$S$78,0),MATCH('CompilationCalcs - Di et al.EOL'!$G438,EndOfLife!$T$63:$X$63,0))</f>
        <v>0</v>
      </c>
    </row>
    <row r="439" spans="1:8" x14ac:dyDescent="0.2">
      <c r="A439" t="s">
        <v>122</v>
      </c>
      <c r="B439" t="s">
        <v>206</v>
      </c>
      <c r="C439" t="s">
        <v>38</v>
      </c>
      <c r="D439" s="11">
        <f>INDEX(PlasticsUse!$B$48:$L$64,MATCH('CompilationCalcs - Di et al.EOL'!$A439,PlasticsUse!$A$48:$A$64,0),MATCH('CompilationCalcs - Di et al.EOL'!$C439,PlasticsUse!$B$47:$L$47,0))</f>
        <v>0</v>
      </c>
      <c r="E439" s="11" t="str">
        <f>IF('CompilationCalcs - Di et al.EOL'!C439=PlasticsUse!$D$93,Conversions!$A$17,IF('CompilationCalcs - Di et al.EOL'!C439=PlasticsUse!$L$93,Conversions!$A$18,Conversions!$A$16))</f>
        <v>Transfer Station</v>
      </c>
      <c r="F439" s="11">
        <f>INDEX('In-Use Stocks'!$M$81:$V$97,MATCH('CompilationCalcs - Di et al.EOL'!$A439,'In-Use Stocks'!$L$81:$L$97,0),MATCH('CompilationCalcs - Di et al.EOL'!$C439,'In-Use Stocks'!$M$80:$V$80,0))</f>
        <v>0</v>
      </c>
      <c r="G439" t="s">
        <v>191</v>
      </c>
      <c r="H439" s="11">
        <f>IFERROR(INDEX(EndOfLife!$L$64:$P$78,MATCH($A439,EndOfLife!$A$64:$A$78,0),MATCH($G439,EndOfLife!$L$63:$P$63,0))*INDEX(PlasticsUse!$B$27:$L$41,MATCH('CompilationCalcs - Di et al.EOL'!$A439,PlasticsUse!$A$27:$A$41,0),MATCH('CompilationCalcs - Di et al.EOL'!$C439,PlasticsUse!$B$26:$L$26,0)),0)</f>
        <v>0</v>
      </c>
    </row>
    <row r="440" spans="1:8" x14ac:dyDescent="0.2">
      <c r="A440" t="s">
        <v>122</v>
      </c>
      <c r="B440" t="s">
        <v>206</v>
      </c>
      <c r="C440" t="s">
        <v>99</v>
      </c>
      <c r="D440" s="11">
        <f>INDEX(PlasticsUse!$B$48:$L$64,MATCH('CompilationCalcs - Di et al.EOL'!$A440,PlasticsUse!$A$48:$A$64,0),MATCH('CompilationCalcs - Di et al.EOL'!$C440,PlasticsUse!$B$47:$L$47,0))</f>
        <v>0</v>
      </c>
      <c r="E440" s="11" t="str">
        <f>IF('CompilationCalcs - Di et al.EOL'!C440=PlasticsUse!$D$93,Conversions!$A$17,IF('CompilationCalcs - Di et al.EOL'!C440=PlasticsUse!$L$93,Conversions!$A$18,Conversions!$A$16))</f>
        <v>Transfer Station</v>
      </c>
      <c r="F440" s="11">
        <f>INDEX('In-Use Stocks'!$M$81:$V$97,MATCH('CompilationCalcs - Di et al.EOL'!$A440,'In-Use Stocks'!$L$81:$L$97,0),MATCH('CompilationCalcs - Di et al.EOL'!$C440,'In-Use Stocks'!$M$80:$V$80,0))</f>
        <v>0</v>
      </c>
      <c r="G440" t="s">
        <v>191</v>
      </c>
      <c r="H440" s="11">
        <f>IFERROR(INDEX(EndOfLife!$L$64:$P$78,MATCH($A440,EndOfLife!$A$64:$A$78,0),MATCH($G440,EndOfLife!$L$63:$P$63,0))*INDEX(PlasticsUse!$B$27:$L$41,MATCH('CompilationCalcs - Di et al.EOL'!$A440,PlasticsUse!$A$27:$A$41,0),MATCH('CompilationCalcs - Di et al.EOL'!$C440,PlasticsUse!$B$26:$L$26,0)),0)</f>
        <v>0</v>
      </c>
    </row>
    <row r="441" spans="1:8" x14ac:dyDescent="0.2">
      <c r="A441" t="s">
        <v>122</v>
      </c>
      <c r="B441" t="s">
        <v>206</v>
      </c>
      <c r="C441" t="s">
        <v>69</v>
      </c>
      <c r="D441" s="11">
        <f>INDEX(PlasticsUse!$B$48:$L$64,MATCH('CompilationCalcs - Di et al.EOL'!$A441,PlasticsUse!$A$48:$A$64,0),MATCH('CompilationCalcs - Di et al.EOL'!$C441,PlasticsUse!$B$47:$L$47,0))</f>
        <v>0</v>
      </c>
      <c r="E441" s="11" t="str">
        <f>IF('CompilationCalcs - Di et al.EOL'!C441=PlasticsUse!$D$93,Conversions!$A$17,IF('CompilationCalcs - Di et al.EOL'!C441=PlasticsUse!$L$93,Conversions!$A$18,Conversions!$A$16))</f>
        <v>Automotive Shredding Facility</v>
      </c>
      <c r="F441" s="11">
        <f>INDEX('In-Use Stocks'!$M$81:$V$97,MATCH('CompilationCalcs - Di et al.EOL'!$A441,'In-Use Stocks'!$L$81:$L$97,0),MATCH('CompilationCalcs - Di et al.EOL'!$C441,'In-Use Stocks'!$M$80:$V$80,0))</f>
        <v>0</v>
      </c>
      <c r="G441" t="s">
        <v>191</v>
      </c>
      <c r="H441" s="11">
        <f>IFERROR(INDEX(EndOfLife!$L$64:$P$78,MATCH($A441,EndOfLife!$A$64:$A$78,0),MATCH($G441,EndOfLife!$L$63:$P$63,0))*INDEX(PlasticsUse!$B$27:$L$41,MATCH('CompilationCalcs - Di et al.EOL'!$A441,PlasticsUse!$A$27:$A$41,0),MATCH('CompilationCalcs - Di et al.EOL'!$C441,PlasticsUse!$B$26:$L$26,0)),0)</f>
        <v>0</v>
      </c>
    </row>
    <row r="442" spans="1:8" x14ac:dyDescent="0.2">
      <c r="A442" t="s">
        <v>122</v>
      </c>
      <c r="B442" t="s">
        <v>206</v>
      </c>
      <c r="C442" t="s">
        <v>100</v>
      </c>
      <c r="D442" s="11">
        <f>INDEX(PlasticsUse!$B$48:$L$64,MATCH('CompilationCalcs - Di et al.EOL'!$A442,PlasticsUse!$A$48:$A$64,0),MATCH('CompilationCalcs - Di et al.EOL'!$C442,PlasticsUse!$B$47:$L$47,0))</f>
        <v>0</v>
      </c>
      <c r="E442" s="11" t="str">
        <f>IF('CompilationCalcs - Di et al.EOL'!C442=PlasticsUse!$D$93,Conversions!$A$17,IF('CompilationCalcs - Di et al.EOL'!C442=PlasticsUse!$L$93,Conversions!$A$18,Conversions!$A$16))</f>
        <v>Transfer Station</v>
      </c>
      <c r="F442" s="11">
        <f>INDEX('In-Use Stocks'!$M$81:$V$97,MATCH('CompilationCalcs - Di et al.EOL'!$A442,'In-Use Stocks'!$L$81:$L$97,0),MATCH('CompilationCalcs - Di et al.EOL'!$C442,'In-Use Stocks'!$M$80:$V$80,0))</f>
        <v>0</v>
      </c>
      <c r="G442" t="s">
        <v>191</v>
      </c>
      <c r="H442" s="11">
        <f>IFERROR(INDEX(EndOfLife!$L$64:$P$78,MATCH($A442,EndOfLife!$A$64:$A$78,0),MATCH($G442,EndOfLife!$L$63:$P$63,0))*INDEX(PlasticsUse!$B$27:$L$41,MATCH('CompilationCalcs - Di et al.EOL'!$A442,PlasticsUse!$A$27:$A$41,0),MATCH('CompilationCalcs - Di et al.EOL'!$C442,PlasticsUse!$B$26:$L$26,0)),0)</f>
        <v>0</v>
      </c>
    </row>
    <row r="443" spans="1:8" x14ac:dyDescent="0.2">
      <c r="A443" t="s">
        <v>122</v>
      </c>
      <c r="B443" t="s">
        <v>206</v>
      </c>
      <c r="C443" t="s">
        <v>39</v>
      </c>
      <c r="D443" s="11">
        <f>INDEX(PlasticsUse!$B$48:$L$64,MATCH('CompilationCalcs - Di et al.EOL'!$A443,PlasticsUse!$A$48:$A$64,0),MATCH('CompilationCalcs - Di et al.EOL'!$C443,PlasticsUse!$B$47:$L$47,0))</f>
        <v>0</v>
      </c>
      <c r="E443" s="11" t="str">
        <f>IF('CompilationCalcs - Di et al.EOL'!C443=PlasticsUse!$D$93,Conversions!$A$17,IF('CompilationCalcs - Di et al.EOL'!C443=PlasticsUse!$L$93,Conversions!$A$18,Conversions!$A$16))</f>
        <v>Transfer Station</v>
      </c>
      <c r="F443" s="11">
        <f>INDEX('In-Use Stocks'!$M$81:$V$97,MATCH('CompilationCalcs - Di et al.EOL'!$A443,'In-Use Stocks'!$L$81:$L$97,0),MATCH('CompilationCalcs - Di et al.EOL'!$C443,'In-Use Stocks'!$M$80:$V$80,0))</f>
        <v>0</v>
      </c>
      <c r="G443" t="s">
        <v>191</v>
      </c>
      <c r="H443" s="11">
        <f>IFERROR(INDEX(EndOfLife!$L$64:$P$78,MATCH($A443,EndOfLife!$A$64:$A$78,0),MATCH($G443,EndOfLife!$L$63:$P$63,0))*INDEX(PlasticsUse!$B$27:$L$41,MATCH('CompilationCalcs - Di et al.EOL'!$A443,PlasticsUse!$A$27:$A$41,0),MATCH('CompilationCalcs - Di et al.EOL'!$C443,PlasticsUse!$B$26:$L$26,0)),0)</f>
        <v>0</v>
      </c>
    </row>
    <row r="444" spans="1:8" x14ac:dyDescent="0.2">
      <c r="A444" t="s">
        <v>122</v>
      </c>
      <c r="B444" t="s">
        <v>206</v>
      </c>
      <c r="C444" t="s">
        <v>68</v>
      </c>
      <c r="D444" s="11">
        <f>INDEX(PlasticsUse!$B$48:$L$64,MATCH('CompilationCalcs - Di et al.EOL'!$A444,PlasticsUse!$A$48:$A$64,0),MATCH('CompilationCalcs - Di et al.EOL'!$C444,PlasticsUse!$B$47:$L$47,0))</f>
        <v>0</v>
      </c>
      <c r="E444" s="11" t="str">
        <f>IF('CompilationCalcs - Di et al.EOL'!C444=PlasticsUse!$D$93,Conversions!$A$17,IF('CompilationCalcs - Di et al.EOL'!C444=PlasticsUse!$L$93,Conversions!$A$18,Conversions!$A$16))</f>
        <v>Transfer Station</v>
      </c>
      <c r="F444" s="11">
        <f>INDEX('In-Use Stocks'!$M$81:$V$97,MATCH('CompilationCalcs - Di et al.EOL'!$A444,'In-Use Stocks'!$L$81:$L$97,0),MATCH('CompilationCalcs - Di et al.EOL'!$C444,'In-Use Stocks'!$M$80:$V$80,0))</f>
        <v>0</v>
      </c>
      <c r="G444" t="s">
        <v>333</v>
      </c>
      <c r="H444" s="11">
        <f>IFERROR(INDEX(EndOfLife!$L$64:$P$78,MATCH($A444,EndOfLife!$A$64:$A$78,0),MATCH($G444,EndOfLife!$L$63:$P$63,0))*INDEX(PlasticsUse!$B$27:$L$41,MATCH('CompilationCalcs - Di et al.EOL'!$A444,PlasticsUse!$A$27:$A$41,0),MATCH('CompilationCalcs - Di et al.EOL'!$C444,PlasticsUse!$B$26:$L$26,0)),0)</f>
        <v>0</v>
      </c>
    </row>
    <row r="445" spans="1:8" x14ac:dyDescent="0.2">
      <c r="A445" t="s">
        <v>122</v>
      </c>
      <c r="B445" t="s">
        <v>206</v>
      </c>
      <c r="C445" t="s">
        <v>63</v>
      </c>
      <c r="D445" s="11">
        <f>INDEX(PlasticsUse!$B$48:$L$64,MATCH('CompilationCalcs - Di et al.EOL'!$A445,PlasticsUse!$A$48:$A$64,0),MATCH('CompilationCalcs - Di et al.EOL'!$C445,PlasticsUse!$B$47:$L$47,0))</f>
        <v>0</v>
      </c>
      <c r="E445" s="11" t="str">
        <f>IF('CompilationCalcs - Di et al.EOL'!C445=PlasticsUse!$D$93,Conversions!$A$17,IF('CompilationCalcs - Di et al.EOL'!C445=PlasticsUse!$L$93,Conversions!$A$18,Conversions!$A$16))</f>
        <v>Transfer Station</v>
      </c>
      <c r="F445" s="11">
        <f>INDEX('In-Use Stocks'!$M$81:$V$97,MATCH('CompilationCalcs - Di et al.EOL'!$A445,'In-Use Stocks'!$L$81:$L$97,0),MATCH('CompilationCalcs - Di et al.EOL'!$C445,'In-Use Stocks'!$M$80:$V$80,0))</f>
        <v>0</v>
      </c>
      <c r="G445" t="s">
        <v>191</v>
      </c>
      <c r="H445" s="11">
        <f>IFERROR(INDEX(EndOfLife!$L$64:$P$78,MATCH($A445,EndOfLife!$A$64:$A$78,0),MATCH($G445,EndOfLife!$L$63:$P$63,0))*INDEX(PlasticsUse!$B$27:$L$41,MATCH('CompilationCalcs - Di et al.EOL'!$A445,PlasticsUse!$A$27:$A$41,0),MATCH('CompilationCalcs - Di et al.EOL'!$C445,PlasticsUse!$B$26:$L$26,0)),0)</f>
        <v>0</v>
      </c>
    </row>
    <row r="446" spans="1:8" x14ac:dyDescent="0.2">
      <c r="A446" t="s">
        <v>122</v>
      </c>
      <c r="B446" t="s">
        <v>206</v>
      </c>
      <c r="C446" t="s">
        <v>92</v>
      </c>
      <c r="D446" s="11">
        <f>INDEX(PlasticsUse!$B$48:$L$64,MATCH('CompilationCalcs - Di et al.EOL'!$A446,PlasticsUse!$A$48:$A$64,0),MATCH('CompilationCalcs - Di et al.EOL'!$C446,PlasticsUse!$B$47:$L$47,0))</f>
        <v>0</v>
      </c>
      <c r="E446" s="11" t="str">
        <f>IF('CompilationCalcs - Di et al.EOL'!C446=PlasticsUse!$D$93,Conversions!$A$17,IF('CompilationCalcs - Di et al.EOL'!C446=PlasticsUse!$L$93,Conversions!$A$18,Conversions!$A$16))</f>
        <v>Transfer Station</v>
      </c>
      <c r="F446" s="11">
        <f>INDEX('In-Use Stocks'!$M$81:$V$97,MATCH('CompilationCalcs - Di et al.EOL'!$A446,'In-Use Stocks'!$L$81:$L$97,0),MATCH('CompilationCalcs - Di et al.EOL'!$C446,'In-Use Stocks'!$M$80:$V$80,0))</f>
        <v>0</v>
      </c>
      <c r="G446" t="s">
        <v>191</v>
      </c>
      <c r="H446" s="11">
        <f>IFERROR(INDEX(EndOfLife!$L$64:$P$78,MATCH($A446,EndOfLife!$A$64:$A$78,0),MATCH($G446,EndOfLife!$L$63:$P$63,0))*INDEX(PlasticsUse!$B$27:$L$41,MATCH('CompilationCalcs - Di et al.EOL'!$A446,PlasticsUse!$A$27:$A$41,0),MATCH('CompilationCalcs - Di et al.EOL'!$C446,PlasticsUse!$B$26:$L$26,0)),0)</f>
        <v>0</v>
      </c>
    </row>
    <row r="447" spans="1:8" x14ac:dyDescent="0.2">
      <c r="A447" t="s">
        <v>122</v>
      </c>
      <c r="B447" t="s">
        <v>206</v>
      </c>
      <c r="C447" t="s">
        <v>103</v>
      </c>
      <c r="D447" s="11">
        <f>INDEX(PlasticsUse!$B$48:$L$64,MATCH('CompilationCalcs - Di et al.EOL'!$A447,PlasticsUse!$A$48:$A$64,0),MATCH('CompilationCalcs - Di et al.EOL'!$C447,PlasticsUse!$B$47:$L$47,0))</f>
        <v>0</v>
      </c>
      <c r="E447" s="11" t="str">
        <f>IF('CompilationCalcs - Di et al.EOL'!C447=PlasticsUse!$D$93,Conversions!$A$17,IF('CompilationCalcs - Di et al.EOL'!C447=PlasticsUse!$L$93,Conversions!$A$18,Conversions!$A$16))</f>
        <v>Transfer Station</v>
      </c>
      <c r="F447" s="11">
        <f>INDEX('In-Use Stocks'!$M$81:$V$97,MATCH('CompilationCalcs - Di et al.EOL'!$A447,'In-Use Stocks'!$L$81:$L$97,0),MATCH('CompilationCalcs - Di et al.EOL'!$C447,'In-Use Stocks'!$M$80:$V$80,0))</f>
        <v>0</v>
      </c>
      <c r="G447" t="s">
        <v>191</v>
      </c>
      <c r="H447" s="11">
        <f>IFERROR(INDEX(EndOfLife!$L$64:$P$78,MATCH($A447,EndOfLife!$A$64:$A$78,0),MATCH($G447,EndOfLife!$L$63:$P$63,0))*INDEX(PlasticsUse!$B$27:$L$41,MATCH('CompilationCalcs - Di et al.EOL'!$A447,PlasticsUse!$A$27:$A$41,0),MATCH('CompilationCalcs - Di et al.EOL'!$C447,PlasticsUse!$B$26:$L$26,0)),0)</f>
        <v>0</v>
      </c>
    </row>
    <row r="448" spans="1:8" x14ac:dyDescent="0.2">
      <c r="A448" t="s">
        <v>122</v>
      </c>
      <c r="B448" t="s">
        <v>206</v>
      </c>
      <c r="C448" t="s">
        <v>86</v>
      </c>
      <c r="D448" s="11">
        <f>INDEX(PlasticsUse!$B$48:$L$64,MATCH('CompilationCalcs - Di et al.EOL'!$A448,PlasticsUse!$A$48:$A$64,0),MATCH('CompilationCalcs - Di et al.EOL'!$C448,PlasticsUse!$B$47:$L$47,0))</f>
        <v>0.6</v>
      </c>
      <c r="E448" s="11" t="str">
        <f>IF('CompilationCalcs - Di et al.EOL'!C448=PlasticsUse!$D$93,Conversions!$A$17,IF('CompilationCalcs - Di et al.EOL'!C448=PlasticsUse!$L$93,Conversions!$A$18,Conversions!$A$16))</f>
        <v>Transfer Station</v>
      </c>
      <c r="F448" s="11">
        <f>INDEX('In-Use Stocks'!$M$81:$V$97,MATCH('CompilationCalcs - Di et al.EOL'!$A448,'In-Use Stocks'!$L$81:$L$97,0),MATCH('CompilationCalcs - Di et al.EOL'!$C448,'In-Use Stocks'!$M$80:$V$80,0))</f>
        <v>0.5906203232650975</v>
      </c>
      <c r="G448" t="s">
        <v>191</v>
      </c>
      <c r="H448" s="11">
        <f>IFERROR(INDEX(EndOfLife!$L$64:$P$78,MATCH($A448,EndOfLife!$A$64:$A$78,0),MATCH($G448,EndOfLife!$L$63:$P$63,0))*INDEX(PlasticsUse!$B$27:$L$41,MATCH('CompilationCalcs - Di et al.EOL'!$A448,PlasticsUse!$A$27:$A$41,0),MATCH('CompilationCalcs - Di et al.EOL'!$C448,PlasticsUse!$B$26:$L$26,0)),0)</f>
        <v>0</v>
      </c>
    </row>
    <row r="449" spans="1:8" x14ac:dyDescent="0.2">
      <c r="A449" t="s">
        <v>122</v>
      </c>
      <c r="B449" t="s">
        <v>206</v>
      </c>
      <c r="C449" t="s">
        <v>18</v>
      </c>
      <c r="D449" s="11">
        <f>INDEX(PlasticsUse!$B$48:$L$64,MATCH('CompilationCalcs - Di et al.EOL'!$A449,PlasticsUse!$A$48:$A$64,0),MATCH('CompilationCalcs - Di et al.EOL'!$C449,PlasticsUse!$B$47:$L$47,0))</f>
        <v>0</v>
      </c>
      <c r="E449" s="11" t="str">
        <f>IF('CompilationCalcs - Di et al.EOL'!C449=PlasticsUse!$D$93,Conversions!$A$17,IF('CompilationCalcs - Di et al.EOL'!C449=PlasticsUse!$L$93,Conversions!$A$18,Conversions!$A$16))</f>
        <v>N/A</v>
      </c>
      <c r="F449" s="11">
        <v>0</v>
      </c>
      <c r="G449" t="s">
        <v>287</v>
      </c>
      <c r="H449" s="11">
        <f>IFERROR(INDEX(EndOfLife!$L$64:$P$78,MATCH($A449,EndOfLife!$A$64:$A$78,0),MATCH($G449,EndOfLife!$L$63:$P$63,0))*INDEX(PlasticsUse!$B$27:$L$41,MATCH('CompilationCalcs - Di et al.EOL'!$A449,PlasticsUse!$A$27:$A$41,0),MATCH('CompilationCalcs - Di et al.EOL'!$C449,PlasticsUse!$B$26:$L$26,0)),0)</f>
        <v>0</v>
      </c>
    </row>
    <row r="450" spans="1:8" x14ac:dyDescent="0.2">
      <c r="A450" t="s">
        <v>122</v>
      </c>
      <c r="B450" t="s">
        <v>207</v>
      </c>
      <c r="C450" t="s">
        <v>38</v>
      </c>
      <c r="D450" s="11"/>
      <c r="E450" s="11" t="str">
        <f>IF('CompilationCalcs - Di et al.EOL'!C450=PlasticsUse!$D$93,Conversions!$A$17,IF('CompilationCalcs - Di et al.EOL'!C450=PlasticsUse!$L$93,Conversions!$A$18,Conversions!$A$16))</f>
        <v>Transfer Station</v>
      </c>
      <c r="F450" s="11">
        <f t="shared" si="7"/>
        <v>0</v>
      </c>
      <c r="G450" t="s">
        <v>5</v>
      </c>
      <c r="H450" s="11">
        <f>IFERROR(INDEX(EndOfLife!$L$64:$P$78,MATCH($A450,EndOfLife!$A$64:$A$78,0),MATCH($G450,EndOfLife!$L$63:$P$63,0))*INDEX(PlasticsUse!$B$27:$L$41,MATCH('CompilationCalcs - Di et al.EOL'!$A450,PlasticsUse!$A$27:$A$41,0),MATCH('CompilationCalcs - Di et al.EOL'!$C450,PlasticsUse!$B$26:$L$26,0)),0)</f>
        <v>0</v>
      </c>
    </row>
    <row r="451" spans="1:8" x14ac:dyDescent="0.2">
      <c r="A451" t="s">
        <v>122</v>
      </c>
      <c r="B451" t="s">
        <v>207</v>
      </c>
      <c r="C451" t="s">
        <v>99</v>
      </c>
      <c r="D451" s="11"/>
      <c r="E451" s="11" t="str">
        <f>IF('CompilationCalcs - Di et al.EOL'!C451=PlasticsUse!$D$93,Conversions!$A$17,IF('CompilationCalcs - Di et al.EOL'!C451=PlasticsUse!$L$93,Conversions!$A$18,Conversions!$A$16))</f>
        <v>Transfer Station</v>
      </c>
      <c r="F451" s="11">
        <f t="shared" si="7"/>
        <v>0</v>
      </c>
      <c r="G451" t="s">
        <v>5</v>
      </c>
      <c r="H451" s="11">
        <f>IFERROR(INDEX(EndOfLife!$L$64:$P$78,MATCH($A451,EndOfLife!$A$64:$A$78,0),MATCH($G451,EndOfLife!$L$63:$P$63,0))*INDEX(PlasticsUse!$B$27:$L$41,MATCH('CompilationCalcs - Di et al.EOL'!$A451,PlasticsUse!$A$27:$A$41,0),MATCH('CompilationCalcs - Di et al.EOL'!$C451,PlasticsUse!$B$26:$L$26,0)),0)</f>
        <v>0</v>
      </c>
    </row>
    <row r="452" spans="1:8" x14ac:dyDescent="0.2">
      <c r="A452" t="s">
        <v>122</v>
      </c>
      <c r="B452" t="s">
        <v>207</v>
      </c>
      <c r="C452" t="s">
        <v>69</v>
      </c>
      <c r="D452" s="11"/>
      <c r="E452" s="11" t="str">
        <f>IF('CompilationCalcs - Di et al.EOL'!C452=PlasticsUse!$D$93,Conversions!$A$17,IF('CompilationCalcs - Di et al.EOL'!C452=PlasticsUse!$L$93,Conversions!$A$18,Conversions!$A$16))</f>
        <v>Automotive Shredding Facility</v>
      </c>
      <c r="F452" s="11">
        <f t="shared" si="7"/>
        <v>0</v>
      </c>
      <c r="G452" t="s">
        <v>5</v>
      </c>
      <c r="H452" s="11">
        <f>IFERROR(INDEX(EndOfLife!$L$64:$P$78,MATCH($A452,EndOfLife!$A$64:$A$78,0),MATCH($G452,EndOfLife!$L$63:$P$63,0))*INDEX(PlasticsUse!$B$27:$L$41,MATCH('CompilationCalcs - Di et al.EOL'!$A452,PlasticsUse!$A$27:$A$41,0),MATCH('CompilationCalcs - Di et al.EOL'!$C452,PlasticsUse!$B$26:$L$26,0)),0)</f>
        <v>0</v>
      </c>
    </row>
    <row r="453" spans="1:8" x14ac:dyDescent="0.2">
      <c r="A453" t="s">
        <v>122</v>
      </c>
      <c r="B453" t="s">
        <v>207</v>
      </c>
      <c r="C453" t="s">
        <v>100</v>
      </c>
      <c r="D453" s="11"/>
      <c r="E453" s="11" t="str">
        <f>IF('CompilationCalcs - Di et al.EOL'!C453=PlasticsUse!$D$93,Conversions!$A$17,IF('CompilationCalcs - Di et al.EOL'!C453=PlasticsUse!$L$93,Conversions!$A$18,Conversions!$A$16))</f>
        <v>Transfer Station</v>
      </c>
      <c r="F453" s="11">
        <f t="shared" si="7"/>
        <v>0</v>
      </c>
      <c r="G453" t="s">
        <v>5</v>
      </c>
      <c r="H453" s="11">
        <f>IFERROR(INDEX(EndOfLife!$L$64:$P$78,MATCH($A453,EndOfLife!$A$64:$A$78,0),MATCH($G453,EndOfLife!$L$63:$P$63,0))*INDEX(PlasticsUse!$B$27:$L$41,MATCH('CompilationCalcs - Di et al.EOL'!$A453,PlasticsUse!$A$27:$A$41,0),MATCH('CompilationCalcs - Di et al.EOL'!$C453,PlasticsUse!$B$26:$L$26,0)),0)</f>
        <v>0</v>
      </c>
    </row>
    <row r="454" spans="1:8" x14ac:dyDescent="0.2">
      <c r="A454" t="s">
        <v>122</v>
      </c>
      <c r="B454" t="s">
        <v>207</v>
      </c>
      <c r="C454" t="s">
        <v>39</v>
      </c>
      <c r="D454" s="11"/>
      <c r="E454" s="11" t="str">
        <f>IF('CompilationCalcs - Di et al.EOL'!C454=PlasticsUse!$D$93,Conversions!$A$17,IF('CompilationCalcs - Di et al.EOL'!C454=PlasticsUse!$L$93,Conversions!$A$18,Conversions!$A$16))</f>
        <v>Transfer Station</v>
      </c>
      <c r="F454" s="11">
        <f t="shared" si="7"/>
        <v>0</v>
      </c>
      <c r="G454" t="s">
        <v>5</v>
      </c>
      <c r="H454" s="11">
        <f>IFERROR(INDEX(EndOfLife!$L$64:$P$78,MATCH($A454,EndOfLife!$A$64:$A$78,0),MATCH($G454,EndOfLife!$L$63:$P$63,0))*INDEX(PlasticsUse!$B$27:$L$41,MATCH('CompilationCalcs - Di et al.EOL'!$A454,PlasticsUse!$A$27:$A$41,0),MATCH('CompilationCalcs - Di et al.EOL'!$C454,PlasticsUse!$B$26:$L$26,0)),0)</f>
        <v>0</v>
      </c>
    </row>
    <row r="455" spans="1:8" x14ac:dyDescent="0.2">
      <c r="A455" t="s">
        <v>122</v>
      </c>
      <c r="B455" t="s">
        <v>207</v>
      </c>
      <c r="C455" t="s">
        <v>63</v>
      </c>
      <c r="D455" s="11"/>
      <c r="E455" s="11" t="str">
        <f>IF('CompilationCalcs - Di et al.EOL'!C455=PlasticsUse!$D$93,Conversions!$A$17,IF('CompilationCalcs - Di et al.EOL'!C455=PlasticsUse!$L$93,Conversions!$A$18,Conversions!$A$16))</f>
        <v>Transfer Station</v>
      </c>
      <c r="F455" s="11">
        <f t="shared" si="7"/>
        <v>0</v>
      </c>
      <c r="G455" t="s">
        <v>5</v>
      </c>
      <c r="H455" s="11">
        <f>IFERROR(INDEX(EndOfLife!$L$64:$P$78,MATCH($A455,EndOfLife!$A$64:$A$78,0),MATCH($G455,EndOfLife!$L$63:$P$63,0))*INDEX(PlasticsUse!$B$27:$L$41,MATCH('CompilationCalcs - Di et al.EOL'!$A455,PlasticsUse!$A$27:$A$41,0),MATCH('CompilationCalcs - Di et al.EOL'!$C455,PlasticsUse!$B$26:$L$26,0)),0)</f>
        <v>0</v>
      </c>
    </row>
    <row r="456" spans="1:8" x14ac:dyDescent="0.2">
      <c r="A456" t="s">
        <v>122</v>
      </c>
      <c r="B456" t="s">
        <v>207</v>
      </c>
      <c r="C456" t="s">
        <v>92</v>
      </c>
      <c r="D456" s="11"/>
      <c r="E456" s="11" t="str">
        <f>IF('CompilationCalcs - Di et al.EOL'!C456=PlasticsUse!$D$93,Conversions!$A$17,IF('CompilationCalcs - Di et al.EOL'!C456=PlasticsUse!$L$93,Conversions!$A$18,Conversions!$A$16))</f>
        <v>Transfer Station</v>
      </c>
      <c r="F456" s="11">
        <f t="shared" si="7"/>
        <v>0</v>
      </c>
      <c r="G456" t="s">
        <v>5</v>
      </c>
      <c r="H456" s="11">
        <f>IFERROR(INDEX(EndOfLife!$L$64:$P$78,MATCH($A456,EndOfLife!$A$64:$A$78,0),MATCH($G456,EndOfLife!$L$63:$P$63,0))*INDEX(PlasticsUse!$B$27:$L$41,MATCH('CompilationCalcs - Di et al.EOL'!$A456,PlasticsUse!$A$27:$A$41,0),MATCH('CompilationCalcs - Di et al.EOL'!$C456,PlasticsUse!$B$26:$L$26,0)),0)</f>
        <v>0</v>
      </c>
    </row>
    <row r="457" spans="1:8" x14ac:dyDescent="0.2">
      <c r="A457" t="s">
        <v>122</v>
      </c>
      <c r="B457" t="s">
        <v>207</v>
      </c>
      <c r="C457" t="s">
        <v>103</v>
      </c>
      <c r="D457" s="11"/>
      <c r="E457" s="11" t="str">
        <f>IF('CompilationCalcs - Di et al.EOL'!C457=PlasticsUse!$D$93,Conversions!$A$17,IF('CompilationCalcs - Di et al.EOL'!C457=PlasticsUse!$L$93,Conversions!$A$18,Conversions!$A$16))</f>
        <v>Transfer Station</v>
      </c>
      <c r="F457" s="11">
        <f t="shared" si="7"/>
        <v>0</v>
      </c>
      <c r="G457" t="s">
        <v>5</v>
      </c>
      <c r="H457" s="11">
        <f>IFERROR(INDEX(EndOfLife!$L$64:$P$78,MATCH($A457,EndOfLife!$A$64:$A$78,0),MATCH($G457,EndOfLife!$L$63:$P$63,0))*INDEX(PlasticsUse!$B$27:$L$41,MATCH('CompilationCalcs - Di et al.EOL'!$A457,PlasticsUse!$A$27:$A$41,0),MATCH('CompilationCalcs - Di et al.EOL'!$C457,PlasticsUse!$B$26:$L$26,0)),0)</f>
        <v>0</v>
      </c>
    </row>
    <row r="458" spans="1:8" x14ac:dyDescent="0.2">
      <c r="A458" t="s">
        <v>122</v>
      </c>
      <c r="B458" t="s">
        <v>207</v>
      </c>
      <c r="C458" t="s">
        <v>86</v>
      </c>
      <c r="D458" s="11"/>
      <c r="E458" s="11" t="str">
        <f>IF('CompilationCalcs - Di et al.EOL'!C458=PlasticsUse!$D$93,Conversions!$A$17,IF('CompilationCalcs - Di et al.EOL'!C458=PlasticsUse!$L$93,Conversions!$A$18,Conversions!$A$16))</f>
        <v>Transfer Station</v>
      </c>
      <c r="F458" s="11">
        <f t="shared" si="7"/>
        <v>0</v>
      </c>
      <c r="G458" t="s">
        <v>5</v>
      </c>
      <c r="H458" s="11">
        <f>IFERROR(INDEX(EndOfLife!$L$64:$P$78,MATCH($A458,EndOfLife!$A$64:$A$78,0),MATCH($G458,EndOfLife!$L$63:$P$63,0))*INDEX(PlasticsUse!$B$27:$L$41,MATCH('CompilationCalcs - Di et al.EOL'!$A458,PlasticsUse!$A$27:$A$41,0),MATCH('CompilationCalcs - Di et al.EOL'!$C458,PlasticsUse!$B$26:$L$26,0)),0)</f>
        <v>4.9609054289388853E-2</v>
      </c>
    </row>
    <row r="459" spans="1:8" x14ac:dyDescent="0.2">
      <c r="A459" t="s">
        <v>122</v>
      </c>
      <c r="B459" t="s">
        <v>207</v>
      </c>
      <c r="C459" t="s">
        <v>18</v>
      </c>
      <c r="D459" s="11"/>
      <c r="E459" s="11" t="str">
        <f>IF('CompilationCalcs - Di et al.EOL'!C459=PlasticsUse!$D$93,Conversions!$A$17,IF('CompilationCalcs - Di et al.EOL'!C459=PlasticsUse!$L$93,Conversions!$A$18,Conversions!$A$16))</f>
        <v>N/A</v>
      </c>
      <c r="F459" s="11">
        <f t="shared" si="7"/>
        <v>0</v>
      </c>
      <c r="G459" t="s">
        <v>287</v>
      </c>
      <c r="H459" s="11">
        <f>IFERROR(INDEX(EndOfLife!$L$64:$P$78,MATCH($A459,EndOfLife!$A$64:$A$78,0),MATCH($G459,EndOfLife!$L$63:$P$63,0))*INDEX(PlasticsUse!$B$27:$L$41,MATCH('CompilationCalcs - Di et al.EOL'!$A459,PlasticsUse!$A$27:$A$41,0),MATCH('CompilationCalcs - Di et al.EOL'!$C459,PlasticsUse!$B$26:$L$26,0)),0)</f>
        <v>0</v>
      </c>
    </row>
    <row r="460" spans="1:8" x14ac:dyDescent="0.2">
      <c r="A460" t="s">
        <v>122</v>
      </c>
      <c r="B460" t="s">
        <v>207</v>
      </c>
      <c r="C460" t="s">
        <v>99</v>
      </c>
      <c r="D460" s="11"/>
      <c r="E460" s="11" t="str">
        <f>IF('CompilationCalcs - Di et al.EOL'!C460=PlasticsUse!$D$93,Conversions!$A$17,IF('CompilationCalcs - Di et al.EOL'!C460=PlasticsUse!$L$93,Conversions!$A$18,Conversions!$A$16))</f>
        <v>Transfer Station</v>
      </c>
      <c r="F460" s="11">
        <f t="shared" si="7"/>
        <v>0</v>
      </c>
      <c r="G460" t="s">
        <v>6</v>
      </c>
      <c r="H460" s="11">
        <f>IFERROR(INDEX(EndOfLife!$L$64:$P$78,MATCH($A460,EndOfLife!$A$64:$A$78,0),MATCH($G460,EndOfLife!$L$63:$P$63,0))*INDEX(PlasticsUse!$B$27:$L$41,MATCH('CompilationCalcs - Di et al.EOL'!$A460,PlasticsUse!$A$27:$A$41,0),MATCH('CompilationCalcs - Di et al.EOL'!$C460,PlasticsUse!$B$26:$L$26,0)),0)</f>
        <v>0</v>
      </c>
    </row>
    <row r="461" spans="1:8" x14ac:dyDescent="0.2">
      <c r="A461" t="s">
        <v>122</v>
      </c>
      <c r="B461" t="s">
        <v>207</v>
      </c>
      <c r="C461" t="s">
        <v>69</v>
      </c>
      <c r="D461" s="11"/>
      <c r="E461" s="11" t="str">
        <f>IF('CompilationCalcs - Di et al.EOL'!C461=PlasticsUse!$D$93,Conversions!$A$17,IF('CompilationCalcs - Di et al.EOL'!C461=PlasticsUse!$L$93,Conversions!$A$18,Conversions!$A$16))</f>
        <v>Automotive Shredding Facility</v>
      </c>
      <c r="F461" s="11">
        <f t="shared" si="7"/>
        <v>0</v>
      </c>
      <c r="G461" t="s">
        <v>6</v>
      </c>
      <c r="H461" s="11">
        <f>IFERROR(INDEX(EndOfLife!$L$64:$P$78,MATCH($A461,EndOfLife!$A$64:$A$78,0),MATCH($G461,EndOfLife!$L$63:$P$63,0))*INDEX(PlasticsUse!$B$27:$L$41,MATCH('CompilationCalcs - Di et al.EOL'!$A461,PlasticsUse!$A$27:$A$41,0),MATCH('CompilationCalcs - Di et al.EOL'!$C461,PlasticsUse!$B$26:$L$26,0)),0)</f>
        <v>0</v>
      </c>
    </row>
    <row r="462" spans="1:8" x14ac:dyDescent="0.2">
      <c r="A462" t="s">
        <v>122</v>
      </c>
      <c r="B462" t="s">
        <v>207</v>
      </c>
      <c r="C462" t="s">
        <v>100</v>
      </c>
      <c r="D462" s="11"/>
      <c r="E462" s="11" t="str">
        <f>IF('CompilationCalcs - Di et al.EOL'!C462=PlasticsUse!$D$93,Conversions!$A$17,IF('CompilationCalcs - Di et al.EOL'!C462=PlasticsUse!$L$93,Conversions!$A$18,Conversions!$A$16))</f>
        <v>Transfer Station</v>
      </c>
      <c r="F462" s="11">
        <f t="shared" si="7"/>
        <v>0</v>
      </c>
      <c r="G462" t="s">
        <v>6</v>
      </c>
      <c r="H462" s="11">
        <f>IFERROR(INDEX(EndOfLife!$L$64:$P$78,MATCH($A462,EndOfLife!$A$64:$A$78,0),MATCH($G462,EndOfLife!$L$63:$P$63,0))*INDEX(PlasticsUse!$B$27:$L$41,MATCH('CompilationCalcs - Di et al.EOL'!$A462,PlasticsUse!$A$27:$A$41,0),MATCH('CompilationCalcs - Di et al.EOL'!$C462,PlasticsUse!$B$26:$L$26,0)),0)</f>
        <v>0</v>
      </c>
    </row>
    <row r="463" spans="1:8" x14ac:dyDescent="0.2">
      <c r="A463" t="s">
        <v>122</v>
      </c>
      <c r="B463" t="s">
        <v>207</v>
      </c>
      <c r="C463" t="s">
        <v>39</v>
      </c>
      <c r="D463" s="11"/>
      <c r="E463" s="11" t="str">
        <f>IF('CompilationCalcs - Di et al.EOL'!C463=PlasticsUse!$D$93,Conversions!$A$17,IF('CompilationCalcs - Di et al.EOL'!C463=PlasticsUse!$L$93,Conversions!$A$18,Conversions!$A$16))</f>
        <v>Transfer Station</v>
      </c>
      <c r="F463" s="11">
        <f t="shared" si="7"/>
        <v>0</v>
      </c>
      <c r="G463" t="s">
        <v>6</v>
      </c>
      <c r="H463" s="11">
        <f>IFERROR(INDEX(EndOfLife!$L$64:$P$78,MATCH($A463,EndOfLife!$A$64:$A$78,0),MATCH($G463,EndOfLife!$L$63:$P$63,0))*INDEX(PlasticsUse!$B$27:$L$41,MATCH('CompilationCalcs - Di et al.EOL'!$A463,PlasticsUse!$A$27:$A$41,0),MATCH('CompilationCalcs - Di et al.EOL'!$C463,PlasticsUse!$B$26:$L$26,0)),0)</f>
        <v>0</v>
      </c>
    </row>
    <row r="464" spans="1:8" x14ac:dyDescent="0.2">
      <c r="A464" t="s">
        <v>122</v>
      </c>
      <c r="B464" t="s">
        <v>207</v>
      </c>
      <c r="C464" t="s">
        <v>68</v>
      </c>
      <c r="D464" s="11"/>
      <c r="E464" s="11" t="str">
        <f>IF('CompilationCalcs - Di et al.EOL'!C464=PlasticsUse!$D$93,Conversions!$A$17,IF('CompilationCalcs - Di et al.EOL'!C464=PlasticsUse!$L$93,Conversions!$A$18,Conversions!$A$16))</f>
        <v>Transfer Station</v>
      </c>
      <c r="F464" s="11">
        <f t="shared" si="7"/>
        <v>0</v>
      </c>
      <c r="G464" t="s">
        <v>6</v>
      </c>
      <c r="H464" s="11">
        <f>IFERROR(INDEX(EndOfLife!$L$64:$P$78,MATCH($A464,EndOfLife!$A$64:$A$78,0),MATCH($G464,EndOfLife!$L$63:$P$63,0))*INDEX(PlasticsUse!$B$27:$L$41,MATCH('CompilationCalcs - Di et al.EOL'!$A464,PlasticsUse!$A$27:$A$41,0),MATCH('CompilationCalcs - Di et al.EOL'!$C464,PlasticsUse!$B$26:$L$26,0)),0)</f>
        <v>0</v>
      </c>
    </row>
    <row r="465" spans="1:8" x14ac:dyDescent="0.2">
      <c r="A465" t="s">
        <v>122</v>
      </c>
      <c r="B465" t="s">
        <v>207</v>
      </c>
      <c r="C465" t="s">
        <v>63</v>
      </c>
      <c r="D465" s="11"/>
      <c r="E465" s="11" t="str">
        <f>IF('CompilationCalcs - Di et al.EOL'!C465=PlasticsUse!$D$93,Conversions!$A$17,IF('CompilationCalcs - Di et al.EOL'!C465=PlasticsUse!$L$93,Conversions!$A$18,Conversions!$A$16))</f>
        <v>Transfer Station</v>
      </c>
      <c r="F465" s="11">
        <f t="shared" si="7"/>
        <v>0</v>
      </c>
      <c r="G465" t="s">
        <v>6</v>
      </c>
      <c r="H465" s="11">
        <f>IFERROR(INDEX(EndOfLife!$L$64:$P$78,MATCH($A465,EndOfLife!$A$64:$A$78,0),MATCH($G465,EndOfLife!$L$63:$P$63,0))*INDEX(PlasticsUse!$B$27:$L$41,MATCH('CompilationCalcs - Di et al.EOL'!$A465,PlasticsUse!$A$27:$A$41,0),MATCH('CompilationCalcs - Di et al.EOL'!$C465,PlasticsUse!$B$26:$L$26,0)),0)</f>
        <v>0</v>
      </c>
    </row>
    <row r="466" spans="1:8" x14ac:dyDescent="0.2">
      <c r="A466" t="s">
        <v>122</v>
      </c>
      <c r="B466" t="s">
        <v>207</v>
      </c>
      <c r="C466" t="s">
        <v>92</v>
      </c>
      <c r="D466" s="11"/>
      <c r="E466" s="11" t="str">
        <f>IF('CompilationCalcs - Di et al.EOL'!C466=PlasticsUse!$D$93,Conversions!$A$17,IF('CompilationCalcs - Di et al.EOL'!C466=PlasticsUse!$L$93,Conversions!$A$18,Conversions!$A$16))</f>
        <v>Transfer Station</v>
      </c>
      <c r="F466" s="11">
        <f t="shared" si="7"/>
        <v>0</v>
      </c>
      <c r="G466" t="s">
        <v>6</v>
      </c>
      <c r="H466" s="11">
        <f>IFERROR(INDEX(EndOfLife!$L$64:$P$78,MATCH($A466,EndOfLife!$A$64:$A$78,0),MATCH($G466,EndOfLife!$L$63:$P$63,0))*INDEX(PlasticsUse!$B$27:$L$41,MATCH('CompilationCalcs - Di et al.EOL'!$A466,PlasticsUse!$A$27:$A$41,0),MATCH('CompilationCalcs - Di et al.EOL'!$C466,PlasticsUse!$B$26:$L$26,0)),0)</f>
        <v>0</v>
      </c>
    </row>
    <row r="467" spans="1:8" x14ac:dyDescent="0.2">
      <c r="A467" t="s">
        <v>122</v>
      </c>
      <c r="B467" t="s">
        <v>207</v>
      </c>
      <c r="C467" t="s">
        <v>103</v>
      </c>
      <c r="D467" s="11"/>
      <c r="E467" s="11" t="str">
        <f>IF('CompilationCalcs - Di et al.EOL'!C467=PlasticsUse!$D$93,Conversions!$A$17,IF('CompilationCalcs - Di et al.EOL'!C467=PlasticsUse!$L$93,Conversions!$A$18,Conversions!$A$16))</f>
        <v>Transfer Station</v>
      </c>
      <c r="F467" s="11">
        <f t="shared" si="7"/>
        <v>0</v>
      </c>
      <c r="G467" t="s">
        <v>6</v>
      </c>
      <c r="H467" s="11">
        <f>IFERROR(INDEX(EndOfLife!$L$64:$P$78,MATCH($A467,EndOfLife!$A$64:$A$78,0),MATCH($G467,EndOfLife!$L$63:$P$63,0))*INDEX(PlasticsUse!$B$27:$L$41,MATCH('CompilationCalcs - Di et al.EOL'!$A467,PlasticsUse!$A$27:$A$41,0),MATCH('CompilationCalcs - Di et al.EOL'!$C467,PlasticsUse!$B$26:$L$26,0)),0)</f>
        <v>0</v>
      </c>
    </row>
    <row r="468" spans="1:8" x14ac:dyDescent="0.2">
      <c r="A468" t="s">
        <v>122</v>
      </c>
      <c r="B468" t="s">
        <v>207</v>
      </c>
      <c r="C468" t="s">
        <v>86</v>
      </c>
      <c r="D468" s="11"/>
      <c r="E468" s="11" t="str">
        <f>IF('CompilationCalcs - Di et al.EOL'!C468=PlasticsUse!$D$93,Conversions!$A$17,IF('CompilationCalcs - Di et al.EOL'!C468=PlasticsUse!$L$93,Conversions!$A$18,Conversions!$A$16))</f>
        <v>Transfer Station</v>
      </c>
      <c r="F468" s="11">
        <f t="shared" si="7"/>
        <v>0</v>
      </c>
      <c r="G468" t="s">
        <v>6</v>
      </c>
      <c r="H468" s="11">
        <f>IFERROR(INDEX(EndOfLife!$L$64:$P$78,MATCH($A468,EndOfLife!$A$64:$A$78,0),MATCH($G468,EndOfLife!$L$63:$P$63,0))*INDEX(PlasticsUse!$B$27:$L$41,MATCH('CompilationCalcs - Di et al.EOL'!$A468,PlasticsUse!$A$27:$A$41,0),MATCH('CompilationCalcs - Di et al.EOL'!$C468,PlasticsUse!$B$26:$L$26,0)),0)</f>
        <v>0.54101126897570861</v>
      </c>
    </row>
    <row r="469" spans="1:8" x14ac:dyDescent="0.2">
      <c r="A469" t="s">
        <v>122</v>
      </c>
      <c r="B469" t="s">
        <v>207</v>
      </c>
      <c r="C469" t="s">
        <v>18</v>
      </c>
      <c r="D469" s="11"/>
      <c r="E469" s="11" t="str">
        <f>IF('CompilationCalcs - Di et al.EOL'!C469=PlasticsUse!$D$93,Conversions!$A$17,IF('CompilationCalcs - Di et al.EOL'!C469=PlasticsUse!$L$93,Conversions!$A$18,Conversions!$A$16))</f>
        <v>N/A</v>
      </c>
      <c r="F469" s="11">
        <f t="shared" si="7"/>
        <v>0</v>
      </c>
      <c r="G469" t="s">
        <v>287</v>
      </c>
      <c r="H469" s="11">
        <f>IFERROR(INDEX(EndOfLife!$L$64:$P$78,MATCH($A469,EndOfLife!$A$64:$A$78,0),MATCH($G469,EndOfLife!$L$63:$P$63,0))*INDEX(PlasticsUse!$B$27:$L$41,MATCH('CompilationCalcs - Di et al.EOL'!$A469,PlasticsUse!$A$27:$A$41,0),MATCH('CompilationCalcs - Di et al.EOL'!$C469,PlasticsUse!$B$26:$L$26,0)),0)</f>
        <v>0</v>
      </c>
    </row>
    <row r="470" spans="1:8" ht="17" x14ac:dyDescent="0.2">
      <c r="A470" t="s">
        <v>122</v>
      </c>
      <c r="B470" t="s">
        <v>207</v>
      </c>
      <c r="E470" s="11" t="s">
        <v>191</v>
      </c>
      <c r="F470" s="11">
        <f t="shared" si="7"/>
        <v>0</v>
      </c>
      <c r="G470" s="28" t="s">
        <v>360</v>
      </c>
      <c r="H470" s="11">
        <f>INDEX(EndOfLife!$T$64:$X$78,MATCH('CompilationCalcs - Di et al.EOL'!$A470,EndOfLife!$S$64:$S$78,0),MATCH('CompilationCalcs - Di et al.EOL'!$G470,EndOfLife!$T$63:$X$63,0))</f>
        <v>0</v>
      </c>
    </row>
    <row r="471" spans="1:8" ht="17" x14ac:dyDescent="0.2">
      <c r="A471" t="s">
        <v>122</v>
      </c>
      <c r="B471" t="s">
        <v>207</v>
      </c>
      <c r="E471" s="11" t="s">
        <v>191</v>
      </c>
      <c r="F471" s="11">
        <f t="shared" si="7"/>
        <v>0</v>
      </c>
      <c r="G471" s="28" t="s">
        <v>361</v>
      </c>
      <c r="H471" s="11">
        <f>INDEX(EndOfLife!$T$64:$X$78,MATCH('CompilationCalcs - Di et al.EOL'!$A471,EndOfLife!$S$64:$S$78,0),MATCH('CompilationCalcs - Di et al.EOL'!$G471,EndOfLife!$T$63:$X$63,0))</f>
        <v>0</v>
      </c>
    </row>
    <row r="472" spans="1:8" ht="17" x14ac:dyDescent="0.2">
      <c r="A472" t="s">
        <v>122</v>
      </c>
      <c r="B472" t="s">
        <v>207</v>
      </c>
      <c r="E472" s="11" t="s">
        <v>360</v>
      </c>
      <c r="F472" s="11">
        <f t="shared" si="7"/>
        <v>0</v>
      </c>
      <c r="G472" s="28" t="s">
        <v>192</v>
      </c>
      <c r="H472" s="11">
        <f>INDEX(EndOfLife!$T$64:$X$78,MATCH('CompilationCalcs - Di et al.EOL'!$A472,EndOfLife!$S$64:$S$78,0),MATCH('CompilationCalcs - Di et al.EOL'!$G472,EndOfLife!$T$63:$X$63,0))</f>
        <v>0</v>
      </c>
    </row>
    <row r="473" spans="1:8" ht="17" x14ac:dyDescent="0.2">
      <c r="A473" t="s">
        <v>122</v>
      </c>
      <c r="B473" t="s">
        <v>207</v>
      </c>
      <c r="E473" s="11" t="s">
        <v>191</v>
      </c>
      <c r="F473" s="11">
        <f t="shared" si="7"/>
        <v>0</v>
      </c>
      <c r="G473" s="28" t="s">
        <v>193</v>
      </c>
      <c r="H473" s="11">
        <f>INDEX(EndOfLife!$T$64:$X$78,MATCH('CompilationCalcs - Di et al.EOL'!$A473,EndOfLife!$S$64:$S$78,0),MATCH('CompilationCalcs - Di et al.EOL'!$G473,EndOfLife!$T$63:$X$63,0))</f>
        <v>0</v>
      </c>
    </row>
    <row r="474" spans="1:8" x14ac:dyDescent="0.2">
      <c r="A474" t="s">
        <v>32</v>
      </c>
      <c r="B474" t="s">
        <v>206</v>
      </c>
      <c r="C474" t="s">
        <v>38</v>
      </c>
      <c r="D474" s="11">
        <f>INDEX(PlasticsUse!$B$48:$L$64,MATCH('CompilationCalcs - Di et al.EOL'!$A474,PlasticsUse!$A$48:$A$64,0),MATCH('CompilationCalcs - Di et al.EOL'!$C474,PlasticsUse!$B$47:$L$47,0))</f>
        <v>0.7876389212160001</v>
      </c>
      <c r="E474" s="11" t="str">
        <f>IF('CompilationCalcs - Di et al.EOL'!C474=PlasticsUse!$D$93,Conversions!$A$17,IF('CompilationCalcs - Di et al.EOL'!C474=PlasticsUse!$L$93,Conversions!$A$18,Conversions!$A$16))</f>
        <v>Transfer Station</v>
      </c>
      <c r="F474" s="11">
        <f>INDEX('In-Use Stocks'!$M$81:$V$97,MATCH('CompilationCalcs - Di et al.EOL'!$A474,'In-Use Stocks'!$L$81:$L$97,0),MATCH('CompilationCalcs - Di et al.EOL'!$C474,'In-Use Stocks'!$M$80:$V$80,0))</f>
        <v>0.31058137849398898</v>
      </c>
      <c r="G474" t="s">
        <v>191</v>
      </c>
      <c r="H474" s="11">
        <f>IFERROR(INDEX(EndOfLife!$L$64:$P$78,MATCH($A474,EndOfLife!$A$64:$A$78,0),MATCH($G474,EndOfLife!$L$63:$P$63,0))*INDEX(PlasticsUse!$B$27:$L$41,MATCH('CompilationCalcs - Di et al.EOL'!$A474,PlasticsUse!$A$27:$A$41,0),MATCH('CompilationCalcs - Di et al.EOL'!$C474,PlasticsUse!$B$26:$L$26,0)),0)</f>
        <v>0</v>
      </c>
    </row>
    <row r="475" spans="1:8" x14ac:dyDescent="0.2">
      <c r="A475" t="s">
        <v>32</v>
      </c>
      <c r="B475" t="s">
        <v>206</v>
      </c>
      <c r="C475" t="s">
        <v>99</v>
      </c>
      <c r="D475" s="11">
        <f>INDEX(PlasticsUse!$B$48:$L$64,MATCH('CompilationCalcs - Di et al.EOL'!$A475,PlasticsUse!$A$48:$A$64,0),MATCH('CompilationCalcs - Di et al.EOL'!$C475,PlasticsUse!$B$47:$L$47,0))</f>
        <v>0</v>
      </c>
      <c r="E475" s="11" t="str">
        <f>IF('CompilationCalcs - Di et al.EOL'!C475=PlasticsUse!$D$93,Conversions!$A$17,IF('CompilationCalcs - Di et al.EOL'!C475=PlasticsUse!$L$93,Conversions!$A$18,Conversions!$A$16))</f>
        <v>Transfer Station</v>
      </c>
      <c r="F475" s="11">
        <f>INDEX('In-Use Stocks'!$M$81:$V$97,MATCH('CompilationCalcs - Di et al.EOL'!$A475,'In-Use Stocks'!$L$81:$L$97,0),MATCH('CompilationCalcs - Di et al.EOL'!$C475,'In-Use Stocks'!$M$80:$V$80,0))</f>
        <v>0</v>
      </c>
      <c r="G475" t="s">
        <v>191</v>
      </c>
      <c r="H475" s="11">
        <f>IFERROR(INDEX(EndOfLife!$L$64:$P$78,MATCH($A475,EndOfLife!$A$64:$A$78,0),MATCH($G475,EndOfLife!$L$63:$P$63,0))*INDEX(PlasticsUse!$B$27:$L$41,MATCH('CompilationCalcs - Di et al.EOL'!$A475,PlasticsUse!$A$27:$A$41,0),MATCH('CompilationCalcs - Di et al.EOL'!$C475,PlasticsUse!$B$26:$L$26,0)),0)</f>
        <v>0</v>
      </c>
    </row>
    <row r="476" spans="1:8" x14ac:dyDescent="0.2">
      <c r="A476" t="s">
        <v>32</v>
      </c>
      <c r="B476" t="s">
        <v>206</v>
      </c>
      <c r="C476" t="s">
        <v>69</v>
      </c>
      <c r="D476" s="11">
        <f>INDEX(PlasticsUse!$B$48:$L$64,MATCH('CompilationCalcs - Di et al.EOL'!$A476,PlasticsUse!$A$48:$A$64,0),MATCH('CompilationCalcs - Di et al.EOL'!$C476,PlasticsUse!$B$47:$L$47,0))</f>
        <v>0.7876389212160001</v>
      </c>
      <c r="E476" s="11" t="str">
        <f>IF('CompilationCalcs - Di et al.EOL'!C476=PlasticsUse!$D$93,Conversions!$A$17,IF('CompilationCalcs - Di et al.EOL'!C476=PlasticsUse!$L$93,Conversions!$A$18,Conversions!$A$16))</f>
        <v>Automotive Shredding Facility</v>
      </c>
      <c r="F476" s="11">
        <f>INDEX('In-Use Stocks'!$M$81:$V$97,MATCH('CompilationCalcs - Di et al.EOL'!$A476,'In-Use Stocks'!$L$81:$L$97,0),MATCH('CompilationCalcs - Di et al.EOL'!$C476,'In-Use Stocks'!$M$80:$V$80,0))</f>
        <v>0.81944083760395414</v>
      </c>
      <c r="G476" t="s">
        <v>191</v>
      </c>
      <c r="H476" s="11">
        <f>IFERROR(INDEX(EndOfLife!$L$64:$P$78,MATCH($A476,EndOfLife!$A$64:$A$78,0),MATCH($G476,EndOfLife!$L$63:$P$63,0))*INDEX(PlasticsUse!$B$27:$L$41,MATCH('CompilationCalcs - Di et al.EOL'!$A476,PlasticsUse!$A$27:$A$41,0),MATCH('CompilationCalcs - Di et al.EOL'!$C476,PlasticsUse!$B$26:$L$26,0)),0)</f>
        <v>0</v>
      </c>
    </row>
    <row r="477" spans="1:8" x14ac:dyDescent="0.2">
      <c r="A477" t="s">
        <v>32</v>
      </c>
      <c r="B477" t="s">
        <v>206</v>
      </c>
      <c r="C477" t="s">
        <v>100</v>
      </c>
      <c r="D477" s="11">
        <f>INDEX(PlasticsUse!$B$48:$L$64,MATCH('CompilationCalcs - Di et al.EOL'!$A477,PlasticsUse!$A$48:$A$64,0),MATCH('CompilationCalcs - Di et al.EOL'!$C477,PlasticsUse!$B$47:$L$47,0))</f>
        <v>0</v>
      </c>
      <c r="E477" s="11" t="str">
        <f>IF('CompilationCalcs - Di et al.EOL'!C477=PlasticsUse!$D$93,Conversions!$A$17,IF('CompilationCalcs - Di et al.EOL'!C477=PlasticsUse!$L$93,Conversions!$A$18,Conversions!$A$16))</f>
        <v>Transfer Station</v>
      </c>
      <c r="F477" s="11">
        <f>INDEX('In-Use Stocks'!$M$81:$V$97,MATCH('CompilationCalcs - Di et al.EOL'!$A477,'In-Use Stocks'!$L$81:$L$97,0),MATCH('CompilationCalcs - Di et al.EOL'!$C477,'In-Use Stocks'!$M$80:$V$80,0))</f>
        <v>0</v>
      </c>
      <c r="G477" t="s">
        <v>191</v>
      </c>
      <c r="H477" s="11">
        <f>IFERROR(INDEX(EndOfLife!$L$64:$P$78,MATCH($A477,EndOfLife!$A$64:$A$78,0),MATCH($G477,EndOfLife!$L$63:$P$63,0))*INDEX(PlasticsUse!$B$27:$L$41,MATCH('CompilationCalcs - Di et al.EOL'!$A477,PlasticsUse!$A$27:$A$41,0),MATCH('CompilationCalcs - Di et al.EOL'!$C477,PlasticsUse!$B$26:$L$26,0)),0)</f>
        <v>0</v>
      </c>
    </row>
    <row r="478" spans="1:8" x14ac:dyDescent="0.2">
      <c r="A478" t="s">
        <v>32</v>
      </c>
      <c r="B478" t="s">
        <v>206</v>
      </c>
      <c r="C478" t="s">
        <v>39</v>
      </c>
      <c r="D478" s="11">
        <f>INDEX(PlasticsUse!$B$48:$L$64,MATCH('CompilationCalcs - Di et al.EOL'!$A478,PlasticsUse!$A$48:$A$64,0),MATCH('CompilationCalcs - Di et al.EOL'!$C478,PlasticsUse!$B$47:$L$47,0))</f>
        <v>0.19690973030400002</v>
      </c>
      <c r="E478" s="11" t="str">
        <f>IF('CompilationCalcs - Di et al.EOL'!C478=PlasticsUse!$D$93,Conversions!$A$17,IF('CompilationCalcs - Di et al.EOL'!C478=PlasticsUse!$L$93,Conversions!$A$18,Conversions!$A$16))</f>
        <v>Transfer Station</v>
      </c>
      <c r="F478" s="11">
        <f>INDEX('In-Use Stocks'!$M$81:$V$97,MATCH('CompilationCalcs - Di et al.EOL'!$A478,'In-Use Stocks'!$L$81:$L$97,0),MATCH('CompilationCalcs - Di et al.EOL'!$C478,'In-Use Stocks'!$M$80:$V$80,0))</f>
        <v>0.24026685338115103</v>
      </c>
      <c r="G478" t="s">
        <v>191</v>
      </c>
      <c r="H478" s="11">
        <f>IFERROR(INDEX(EndOfLife!$L$64:$P$78,MATCH($A478,EndOfLife!$A$64:$A$78,0),MATCH($G478,EndOfLife!$L$63:$P$63,0))*INDEX(PlasticsUse!$B$27:$L$41,MATCH('CompilationCalcs - Di et al.EOL'!$A478,PlasticsUse!$A$27:$A$41,0),MATCH('CompilationCalcs - Di et al.EOL'!$C478,PlasticsUse!$B$26:$L$26,0)),0)</f>
        <v>0</v>
      </c>
    </row>
    <row r="479" spans="1:8" x14ac:dyDescent="0.2">
      <c r="A479" t="s">
        <v>32</v>
      </c>
      <c r="B479" t="s">
        <v>206</v>
      </c>
      <c r="C479" t="s">
        <v>68</v>
      </c>
      <c r="D479" s="11">
        <f>INDEX(PlasticsUse!$B$48:$L$64,MATCH('CompilationCalcs - Di et al.EOL'!$A479,PlasticsUse!$A$48:$A$64,0),MATCH('CompilationCalcs - Di et al.EOL'!$C479,PlasticsUse!$B$47:$L$47,0))</f>
        <v>0.98454865152000004</v>
      </c>
      <c r="E479" s="11" t="str">
        <f>IF('CompilationCalcs - Di et al.EOL'!C479=PlasticsUse!$D$93,Conversions!$A$17,IF('CompilationCalcs - Di et al.EOL'!C479=PlasticsUse!$L$93,Conversions!$A$18,Conversions!$A$16))</f>
        <v>Transfer Station</v>
      </c>
      <c r="F479" s="11">
        <f>INDEX('In-Use Stocks'!$M$81:$V$97,MATCH('CompilationCalcs - Di et al.EOL'!$A479,'In-Use Stocks'!$L$81:$L$97,0),MATCH('CompilationCalcs - Di et al.EOL'!$C479,'In-Use Stocks'!$M$80:$V$80,0))</f>
        <v>1.0673341590444818</v>
      </c>
      <c r="G479" t="s">
        <v>333</v>
      </c>
      <c r="H479" s="11">
        <f>IFERROR(INDEX(EndOfLife!$L$64:$P$78,MATCH($A479,EndOfLife!$A$64:$A$78,0),MATCH($G479,EndOfLife!$L$63:$P$63,0))*INDEX(PlasticsUse!$B$27:$L$41,MATCH('CompilationCalcs - Di et al.EOL'!$A479,PlasticsUse!$A$27:$A$41,0),MATCH('CompilationCalcs - Di et al.EOL'!$C479,PlasticsUse!$B$26:$L$26,0)),0)</f>
        <v>8.3689462965106598E-2</v>
      </c>
    </row>
    <row r="480" spans="1:8" x14ac:dyDescent="0.2">
      <c r="A480" t="s">
        <v>32</v>
      </c>
      <c r="B480" t="s">
        <v>206</v>
      </c>
      <c r="C480" t="s">
        <v>63</v>
      </c>
      <c r="D480" s="11">
        <f>INDEX(PlasticsUse!$B$48:$L$64,MATCH('CompilationCalcs - Di et al.EOL'!$A480,PlasticsUse!$A$48:$A$64,0),MATCH('CompilationCalcs - Di et al.EOL'!$C480,PlasticsUse!$B$47:$L$47,0))</f>
        <v>0.19690973030400002</v>
      </c>
      <c r="E480" s="11" t="str">
        <f>IF('CompilationCalcs - Di et al.EOL'!C480=PlasticsUse!$D$93,Conversions!$A$17,IF('CompilationCalcs - Di et al.EOL'!C480=PlasticsUse!$L$93,Conversions!$A$18,Conversions!$A$16))</f>
        <v>Transfer Station</v>
      </c>
      <c r="F480" s="11">
        <f>INDEX('In-Use Stocks'!$M$81:$V$97,MATCH('CompilationCalcs - Di et al.EOL'!$A480,'In-Use Stocks'!$L$81:$L$97,0),MATCH('CompilationCalcs - Di et al.EOL'!$C480,'In-Use Stocks'!$M$80:$V$80,0))</f>
        <v>0.19533993537078584</v>
      </c>
      <c r="G480" t="s">
        <v>191</v>
      </c>
      <c r="H480" s="11">
        <f>IFERROR(INDEX(EndOfLife!$L$64:$P$78,MATCH($A480,EndOfLife!$A$64:$A$78,0),MATCH($G480,EndOfLife!$L$63:$P$63,0))*INDEX(PlasticsUse!$B$27:$L$41,MATCH('CompilationCalcs - Di et al.EOL'!$A480,PlasticsUse!$A$27:$A$41,0),MATCH('CompilationCalcs - Di et al.EOL'!$C480,PlasticsUse!$B$26:$L$26,0)),0)</f>
        <v>0</v>
      </c>
    </row>
    <row r="481" spans="1:8" x14ac:dyDescent="0.2">
      <c r="A481" t="s">
        <v>32</v>
      </c>
      <c r="B481" t="s">
        <v>206</v>
      </c>
      <c r="C481" t="s">
        <v>92</v>
      </c>
      <c r="D481" s="11">
        <f>INDEX(PlasticsUse!$B$48:$L$64,MATCH('CompilationCalcs - Di et al.EOL'!$A481,PlasticsUse!$A$48:$A$64,0),MATCH('CompilationCalcs - Di et al.EOL'!$C481,PlasticsUse!$B$47:$L$47,0))</f>
        <v>0</v>
      </c>
      <c r="E481" s="11" t="str">
        <f>IF('CompilationCalcs - Di et al.EOL'!C481=PlasticsUse!$D$93,Conversions!$A$17,IF('CompilationCalcs - Di et al.EOL'!C481=PlasticsUse!$L$93,Conversions!$A$18,Conversions!$A$16))</f>
        <v>Transfer Station</v>
      </c>
      <c r="F481" s="11">
        <f>INDEX('In-Use Stocks'!$M$81:$V$97,MATCH('CompilationCalcs - Di et al.EOL'!$A481,'In-Use Stocks'!$L$81:$L$97,0),MATCH('CompilationCalcs - Di et al.EOL'!$C481,'In-Use Stocks'!$M$80:$V$80,0))</f>
        <v>0</v>
      </c>
      <c r="G481" t="s">
        <v>191</v>
      </c>
      <c r="H481" s="11">
        <f>IFERROR(INDEX(EndOfLife!$L$64:$P$78,MATCH($A481,EndOfLife!$A$64:$A$78,0),MATCH($G481,EndOfLife!$L$63:$P$63,0))*INDEX(PlasticsUse!$B$27:$L$41,MATCH('CompilationCalcs - Di et al.EOL'!$A481,PlasticsUse!$A$27:$A$41,0),MATCH('CompilationCalcs - Di et al.EOL'!$C481,PlasticsUse!$B$26:$L$26,0)),0)</f>
        <v>0</v>
      </c>
    </row>
    <row r="482" spans="1:8" x14ac:dyDescent="0.2">
      <c r="A482" t="s">
        <v>32</v>
      </c>
      <c r="B482" t="s">
        <v>206</v>
      </c>
      <c r="C482" t="s">
        <v>103</v>
      </c>
      <c r="D482" s="11">
        <f>INDEX(PlasticsUse!$B$48:$L$64,MATCH('CompilationCalcs - Di et al.EOL'!$A482,PlasticsUse!$A$48:$A$64,0),MATCH('CompilationCalcs - Di et al.EOL'!$C482,PlasticsUse!$B$47:$L$47,0))</f>
        <v>0</v>
      </c>
      <c r="E482" s="11" t="str">
        <f>IF('CompilationCalcs - Di et al.EOL'!C482=PlasticsUse!$D$93,Conversions!$A$17,IF('CompilationCalcs - Di et al.EOL'!C482=PlasticsUse!$L$93,Conversions!$A$18,Conversions!$A$16))</f>
        <v>Transfer Station</v>
      </c>
      <c r="F482" s="11">
        <f>INDEX('In-Use Stocks'!$M$81:$V$97,MATCH('CompilationCalcs - Di et al.EOL'!$A482,'In-Use Stocks'!$L$81:$L$97,0),MATCH('CompilationCalcs - Di et al.EOL'!$C482,'In-Use Stocks'!$M$80:$V$80,0))</f>
        <v>0</v>
      </c>
      <c r="G482" t="s">
        <v>191</v>
      </c>
      <c r="H482" s="11">
        <f>IFERROR(INDEX(EndOfLife!$L$64:$P$78,MATCH($A482,EndOfLife!$A$64:$A$78,0),MATCH($G482,EndOfLife!$L$63:$P$63,0))*INDEX(PlasticsUse!$B$27:$L$41,MATCH('CompilationCalcs - Di et al.EOL'!$A482,PlasticsUse!$A$27:$A$41,0),MATCH('CompilationCalcs - Di et al.EOL'!$C482,PlasticsUse!$B$26:$L$26,0)),0)</f>
        <v>0</v>
      </c>
    </row>
    <row r="483" spans="1:8" x14ac:dyDescent="0.2">
      <c r="A483" t="s">
        <v>32</v>
      </c>
      <c r="B483" t="s">
        <v>206</v>
      </c>
      <c r="C483" t="s">
        <v>86</v>
      </c>
      <c r="D483" s="11">
        <f>INDEX(PlasticsUse!$B$48:$L$64,MATCH('CompilationCalcs - Di et al.EOL'!$A483,PlasticsUse!$A$48:$A$64,0),MATCH('CompilationCalcs - Di et al.EOL'!$C483,PlasticsUse!$B$47:$L$47,0))</f>
        <v>0.98454865152000004</v>
      </c>
      <c r="E483" s="11" t="str">
        <f>IF('CompilationCalcs - Di et al.EOL'!C483=PlasticsUse!$D$93,Conversions!$A$17,IF('CompilationCalcs - Di et al.EOL'!C483=PlasticsUse!$L$93,Conversions!$A$18,Conversions!$A$16))</f>
        <v>Transfer Station</v>
      </c>
      <c r="F483" s="11">
        <f>INDEX('In-Use Stocks'!$M$81:$V$97,MATCH('CompilationCalcs - Di et al.EOL'!$A483,'In-Use Stocks'!$L$81:$L$97,0),MATCH('CompilationCalcs - Di et al.EOL'!$C483,'In-Use Stocks'!$M$80:$V$80,0))</f>
        <v>0.8450404917983797</v>
      </c>
      <c r="G483" t="s">
        <v>191</v>
      </c>
      <c r="H483" s="11">
        <f>IFERROR(INDEX(EndOfLife!$L$64:$P$78,MATCH($A483,EndOfLife!$A$64:$A$78,0),MATCH($G483,EndOfLife!$L$63:$P$63,0))*INDEX(PlasticsUse!$B$27:$L$41,MATCH('CompilationCalcs - Di et al.EOL'!$A483,PlasticsUse!$A$27:$A$41,0),MATCH('CompilationCalcs - Di et al.EOL'!$C483,PlasticsUse!$B$26:$L$26,0)),0)</f>
        <v>0</v>
      </c>
    </row>
    <row r="484" spans="1:8" x14ac:dyDescent="0.2">
      <c r="A484" t="s">
        <v>32</v>
      </c>
      <c r="B484" t="s">
        <v>206</v>
      </c>
      <c r="C484" t="s">
        <v>18</v>
      </c>
      <c r="D484" s="11">
        <f>INDEX(PlasticsUse!$B$48:$L$64,MATCH('CompilationCalcs - Di et al.EOL'!$A484,PlasticsUse!$A$48:$A$64,0),MATCH('CompilationCalcs - Di et al.EOL'!$C484,PlasticsUse!$B$47:$L$47,0))</f>
        <v>0</v>
      </c>
      <c r="E484" s="11" t="str">
        <f>IF('CompilationCalcs - Di et al.EOL'!C484=PlasticsUse!$D$93,Conversions!$A$17,IF('CompilationCalcs - Di et al.EOL'!C484=PlasticsUse!$L$93,Conversions!$A$18,Conversions!$A$16))</f>
        <v>N/A</v>
      </c>
      <c r="F484" s="11">
        <v>0</v>
      </c>
      <c r="G484" t="s">
        <v>287</v>
      </c>
      <c r="H484" s="11">
        <f>IFERROR(INDEX(EndOfLife!$L$64:$P$78,MATCH($A484,EndOfLife!$A$64:$A$78,0),MATCH($G484,EndOfLife!$L$63:$P$63,0))*INDEX(PlasticsUse!$B$27:$L$41,MATCH('CompilationCalcs - Di et al.EOL'!$A484,PlasticsUse!$A$27:$A$41,0),MATCH('CompilationCalcs - Di et al.EOL'!$C484,PlasticsUse!$B$26:$L$26,0)),0)</f>
        <v>0</v>
      </c>
    </row>
    <row r="485" spans="1:8" x14ac:dyDescent="0.2">
      <c r="A485" t="s">
        <v>32</v>
      </c>
      <c r="B485" t="s">
        <v>207</v>
      </c>
      <c r="C485" t="s">
        <v>38</v>
      </c>
      <c r="D485" s="11"/>
      <c r="E485" s="11" t="str">
        <f>IF('CompilationCalcs - Di et al.EOL'!C485=PlasticsUse!$D$93,Conversions!$A$17,IF('CompilationCalcs - Di et al.EOL'!C485=PlasticsUse!$L$93,Conversions!$A$18,Conversions!$A$16))</f>
        <v>Transfer Station</v>
      </c>
      <c r="F485" s="11">
        <f t="shared" ref="F485:F539" si="8">D485</f>
        <v>0</v>
      </c>
      <c r="G485" t="s">
        <v>5</v>
      </c>
      <c r="H485" s="11">
        <f>IFERROR(INDEX(EndOfLife!$L$64:$P$78,MATCH($A485,EndOfLife!$A$64:$A$78,0),MATCH($G485,EndOfLife!$L$63:$P$63,0))*INDEX(PlasticsUse!$B$27:$L$41,MATCH('CompilationCalcs - Di et al.EOL'!$A485,PlasticsUse!$A$27:$A$41,0),MATCH('CompilationCalcs - Di et al.EOL'!$C485,PlasticsUse!$B$26:$L$26,0)),0)</f>
        <v>5.8426865916197071E-2</v>
      </c>
    </row>
    <row r="486" spans="1:8" x14ac:dyDescent="0.2">
      <c r="A486" t="s">
        <v>32</v>
      </c>
      <c r="B486" t="s">
        <v>207</v>
      </c>
      <c r="C486" t="s">
        <v>99</v>
      </c>
      <c r="D486" s="11"/>
      <c r="E486" s="11" t="str">
        <f>IF('CompilationCalcs - Di et al.EOL'!C486=PlasticsUse!$D$93,Conversions!$A$17,IF('CompilationCalcs - Di et al.EOL'!C486=PlasticsUse!$L$93,Conversions!$A$18,Conversions!$A$16))</f>
        <v>Transfer Station</v>
      </c>
      <c r="F486" s="11">
        <f t="shared" si="8"/>
        <v>0</v>
      </c>
      <c r="G486" t="s">
        <v>5</v>
      </c>
      <c r="H486" s="11">
        <f>IFERROR(INDEX(EndOfLife!$L$64:$P$78,MATCH($A486,EndOfLife!$A$64:$A$78,0),MATCH($G486,EndOfLife!$L$63:$P$63,0))*INDEX(PlasticsUse!$B$27:$L$41,MATCH('CompilationCalcs - Di et al.EOL'!$A486,PlasticsUse!$A$27:$A$41,0),MATCH('CompilationCalcs - Di et al.EOL'!$C486,PlasticsUse!$B$26:$L$26,0)),0)</f>
        <v>0</v>
      </c>
    </row>
    <row r="487" spans="1:8" x14ac:dyDescent="0.2">
      <c r="A487" t="s">
        <v>32</v>
      </c>
      <c r="B487" t="s">
        <v>207</v>
      </c>
      <c r="C487" t="s">
        <v>69</v>
      </c>
      <c r="D487" s="11"/>
      <c r="E487" s="11" t="str">
        <f>IF('CompilationCalcs - Di et al.EOL'!C487=PlasticsUse!$D$93,Conversions!$A$17,IF('CompilationCalcs - Di et al.EOL'!C487=PlasticsUse!$L$93,Conversions!$A$18,Conversions!$A$16))</f>
        <v>Automotive Shredding Facility</v>
      </c>
      <c r="F487" s="11">
        <f t="shared" si="8"/>
        <v>0</v>
      </c>
      <c r="G487" t="s">
        <v>5</v>
      </c>
      <c r="H487" s="11">
        <f>IFERROR(INDEX(EndOfLife!$L$64:$P$78,MATCH($A487,EndOfLife!$A$64:$A$78,0),MATCH($G487,EndOfLife!$L$63:$P$63,0))*INDEX(PlasticsUse!$B$27:$L$41,MATCH('CompilationCalcs - Di et al.EOL'!$A487,PlasticsUse!$A$27:$A$41,0),MATCH('CompilationCalcs - Di et al.EOL'!$C487,PlasticsUse!$B$26:$L$26,0)),0)</f>
        <v>5.8426865916197071E-2</v>
      </c>
    </row>
    <row r="488" spans="1:8" x14ac:dyDescent="0.2">
      <c r="A488" t="s">
        <v>32</v>
      </c>
      <c r="B488" t="s">
        <v>207</v>
      </c>
      <c r="C488" t="s">
        <v>100</v>
      </c>
      <c r="D488" s="11"/>
      <c r="E488" s="11" t="str">
        <f>IF('CompilationCalcs - Di et al.EOL'!C488=PlasticsUse!$D$93,Conversions!$A$17,IF('CompilationCalcs - Di et al.EOL'!C488=PlasticsUse!$L$93,Conversions!$A$18,Conversions!$A$16))</f>
        <v>Transfer Station</v>
      </c>
      <c r="F488" s="11">
        <f t="shared" si="8"/>
        <v>0</v>
      </c>
      <c r="G488" t="s">
        <v>5</v>
      </c>
      <c r="H488" s="11">
        <f>IFERROR(INDEX(EndOfLife!$L$64:$P$78,MATCH($A488,EndOfLife!$A$64:$A$78,0),MATCH($G488,EndOfLife!$L$63:$P$63,0))*INDEX(PlasticsUse!$B$27:$L$41,MATCH('CompilationCalcs - Di et al.EOL'!$A488,PlasticsUse!$A$27:$A$41,0),MATCH('CompilationCalcs - Di et al.EOL'!$C488,PlasticsUse!$B$26:$L$26,0)),0)</f>
        <v>0</v>
      </c>
    </row>
    <row r="489" spans="1:8" x14ac:dyDescent="0.2">
      <c r="A489" t="s">
        <v>32</v>
      </c>
      <c r="B489" t="s">
        <v>207</v>
      </c>
      <c r="C489" t="s">
        <v>39</v>
      </c>
      <c r="D489" s="11"/>
      <c r="E489" s="11" t="str">
        <f>IF('CompilationCalcs - Di et al.EOL'!C489=PlasticsUse!$D$93,Conversions!$A$17,IF('CompilationCalcs - Di et al.EOL'!C489=PlasticsUse!$L$93,Conversions!$A$18,Conversions!$A$16))</f>
        <v>Transfer Station</v>
      </c>
      <c r="F489" s="11">
        <f t="shared" si="8"/>
        <v>0</v>
      </c>
      <c r="G489" t="s">
        <v>5</v>
      </c>
      <c r="H489" s="11">
        <f>IFERROR(INDEX(EndOfLife!$L$64:$P$78,MATCH($A489,EndOfLife!$A$64:$A$78,0),MATCH($G489,EndOfLife!$L$63:$P$63,0))*INDEX(PlasticsUse!$B$27:$L$41,MATCH('CompilationCalcs - Di et al.EOL'!$A489,PlasticsUse!$A$27:$A$41,0),MATCH('CompilationCalcs - Di et al.EOL'!$C489,PlasticsUse!$B$26:$L$26,0)),0)</f>
        <v>1.4606716479049268E-2</v>
      </c>
    </row>
    <row r="490" spans="1:8" x14ac:dyDescent="0.2">
      <c r="A490" t="s">
        <v>32</v>
      </c>
      <c r="B490" t="s">
        <v>207</v>
      </c>
      <c r="C490" t="s">
        <v>63</v>
      </c>
      <c r="D490" s="11"/>
      <c r="E490" s="11" t="str">
        <f>IF('CompilationCalcs - Di et al.EOL'!C490=PlasticsUse!$D$93,Conversions!$A$17,IF('CompilationCalcs - Di et al.EOL'!C490=PlasticsUse!$L$93,Conversions!$A$18,Conversions!$A$16))</f>
        <v>Transfer Station</v>
      </c>
      <c r="F490" s="11">
        <f t="shared" si="8"/>
        <v>0</v>
      </c>
      <c r="G490" t="s">
        <v>5</v>
      </c>
      <c r="H490" s="11">
        <f>IFERROR(INDEX(EndOfLife!$L$64:$P$78,MATCH($A490,EndOfLife!$A$64:$A$78,0),MATCH($G490,EndOfLife!$L$63:$P$63,0))*INDEX(PlasticsUse!$B$27:$L$41,MATCH('CompilationCalcs - Di et al.EOL'!$A490,PlasticsUse!$A$27:$A$41,0),MATCH('CompilationCalcs - Di et al.EOL'!$C490,PlasticsUse!$B$26:$L$26,0)),0)</f>
        <v>1.4606716479049268E-2</v>
      </c>
    </row>
    <row r="491" spans="1:8" x14ac:dyDescent="0.2">
      <c r="A491" t="s">
        <v>32</v>
      </c>
      <c r="B491" t="s">
        <v>207</v>
      </c>
      <c r="C491" t="s">
        <v>92</v>
      </c>
      <c r="D491" s="11"/>
      <c r="E491" s="11" t="str">
        <f>IF('CompilationCalcs - Di et al.EOL'!C491=PlasticsUse!$D$93,Conversions!$A$17,IF('CompilationCalcs - Di et al.EOL'!C491=PlasticsUse!$L$93,Conversions!$A$18,Conversions!$A$16))</f>
        <v>Transfer Station</v>
      </c>
      <c r="F491" s="11">
        <f t="shared" si="8"/>
        <v>0</v>
      </c>
      <c r="G491" t="s">
        <v>5</v>
      </c>
      <c r="H491" s="11">
        <f>IFERROR(INDEX(EndOfLife!$L$64:$P$78,MATCH($A491,EndOfLife!$A$64:$A$78,0),MATCH($G491,EndOfLife!$L$63:$P$63,0))*INDEX(PlasticsUse!$B$27:$L$41,MATCH('CompilationCalcs - Di et al.EOL'!$A491,PlasticsUse!$A$27:$A$41,0),MATCH('CompilationCalcs - Di et al.EOL'!$C491,PlasticsUse!$B$26:$L$26,0)),0)</f>
        <v>0</v>
      </c>
    </row>
    <row r="492" spans="1:8" x14ac:dyDescent="0.2">
      <c r="A492" t="s">
        <v>32</v>
      </c>
      <c r="B492" t="s">
        <v>207</v>
      </c>
      <c r="C492" t="s">
        <v>103</v>
      </c>
      <c r="D492" s="11"/>
      <c r="E492" s="11" t="str">
        <f>IF('CompilationCalcs - Di et al.EOL'!C492=PlasticsUse!$D$93,Conversions!$A$17,IF('CompilationCalcs - Di et al.EOL'!C492=PlasticsUse!$L$93,Conversions!$A$18,Conversions!$A$16))</f>
        <v>Transfer Station</v>
      </c>
      <c r="F492" s="11">
        <f t="shared" si="8"/>
        <v>0</v>
      </c>
      <c r="G492" t="s">
        <v>5</v>
      </c>
      <c r="H492" s="11">
        <f>IFERROR(INDEX(EndOfLife!$L$64:$P$78,MATCH($A492,EndOfLife!$A$64:$A$78,0),MATCH($G492,EndOfLife!$L$63:$P$63,0))*INDEX(PlasticsUse!$B$27:$L$41,MATCH('CompilationCalcs - Di et al.EOL'!$A492,PlasticsUse!$A$27:$A$41,0),MATCH('CompilationCalcs - Di et al.EOL'!$C492,PlasticsUse!$B$26:$L$26,0)),0)</f>
        <v>0</v>
      </c>
    </row>
    <row r="493" spans="1:8" x14ac:dyDescent="0.2">
      <c r="A493" t="s">
        <v>32</v>
      </c>
      <c r="B493" t="s">
        <v>207</v>
      </c>
      <c r="C493" t="s">
        <v>86</v>
      </c>
      <c r="D493" s="11"/>
      <c r="E493" s="11" t="str">
        <f>IF('CompilationCalcs - Di et al.EOL'!C493=PlasticsUse!$D$93,Conversions!$A$17,IF('CompilationCalcs - Di et al.EOL'!C493=PlasticsUse!$L$93,Conversions!$A$18,Conversions!$A$16))</f>
        <v>Transfer Station</v>
      </c>
      <c r="F493" s="11">
        <f t="shared" si="8"/>
        <v>0</v>
      </c>
      <c r="G493" t="s">
        <v>5</v>
      </c>
      <c r="H493" s="11">
        <f>IFERROR(INDEX(EndOfLife!$L$64:$P$78,MATCH($A493,EndOfLife!$A$64:$A$78,0),MATCH($G493,EndOfLife!$L$63:$P$63,0))*INDEX(PlasticsUse!$B$27:$L$41,MATCH('CompilationCalcs - Di et al.EOL'!$A493,PlasticsUse!$A$27:$A$41,0),MATCH('CompilationCalcs - Di et al.EOL'!$C493,PlasticsUse!$B$26:$L$26,0)),0)</f>
        <v>7.3033582395246335E-2</v>
      </c>
    </row>
    <row r="494" spans="1:8" x14ac:dyDescent="0.2">
      <c r="A494" t="s">
        <v>32</v>
      </c>
      <c r="B494" t="s">
        <v>207</v>
      </c>
      <c r="C494" t="s">
        <v>18</v>
      </c>
      <c r="D494" s="11"/>
      <c r="E494" s="11" t="str">
        <f>IF('CompilationCalcs - Di et al.EOL'!C494=PlasticsUse!$D$93,Conversions!$A$17,IF('CompilationCalcs - Di et al.EOL'!C494=PlasticsUse!$L$93,Conversions!$A$18,Conversions!$A$16))</f>
        <v>N/A</v>
      </c>
      <c r="F494" s="11">
        <f t="shared" si="8"/>
        <v>0</v>
      </c>
      <c r="G494" t="s">
        <v>287</v>
      </c>
      <c r="H494" s="11">
        <f>IFERROR(INDEX(EndOfLife!$L$64:$P$78,MATCH($A494,EndOfLife!$A$64:$A$78,0),MATCH($G494,EndOfLife!$L$63:$P$63,0))*INDEX(PlasticsUse!$B$27:$L$41,MATCH('CompilationCalcs - Di et al.EOL'!$A494,PlasticsUse!$A$27:$A$41,0),MATCH('CompilationCalcs - Di et al.EOL'!$C494,PlasticsUse!$B$26:$L$26,0)),0)</f>
        <v>0</v>
      </c>
    </row>
    <row r="495" spans="1:8" x14ac:dyDescent="0.2">
      <c r="A495" t="s">
        <v>32</v>
      </c>
      <c r="B495" t="s">
        <v>207</v>
      </c>
      <c r="C495" t="s">
        <v>99</v>
      </c>
      <c r="D495" s="11"/>
      <c r="E495" s="11" t="str">
        <f>IF('CompilationCalcs - Di et al.EOL'!C495=PlasticsUse!$D$93,Conversions!$A$17,IF('CompilationCalcs - Di et al.EOL'!C495=PlasticsUse!$L$93,Conversions!$A$18,Conversions!$A$16))</f>
        <v>Transfer Station</v>
      </c>
      <c r="F495" s="11">
        <f t="shared" si="8"/>
        <v>0</v>
      </c>
      <c r="G495" t="s">
        <v>6</v>
      </c>
      <c r="H495" s="11">
        <f>IFERROR(INDEX(EndOfLife!$L$64:$P$78,MATCH($A495,EndOfLife!$A$64:$A$78,0),MATCH($G495,EndOfLife!$L$63:$P$63,0))*INDEX(PlasticsUse!$B$27:$L$41,MATCH('CompilationCalcs - Di et al.EOL'!$A495,PlasticsUse!$A$27:$A$41,0),MATCH('CompilationCalcs - Di et al.EOL'!$C495,PlasticsUse!$B$26:$L$26,0)),0)</f>
        <v>0</v>
      </c>
    </row>
    <row r="496" spans="1:8" x14ac:dyDescent="0.2">
      <c r="A496" t="s">
        <v>32</v>
      </c>
      <c r="B496" t="s">
        <v>207</v>
      </c>
      <c r="C496" t="s">
        <v>69</v>
      </c>
      <c r="D496" s="11"/>
      <c r="E496" s="11" t="str">
        <f>IF('CompilationCalcs - Di et al.EOL'!C496=PlasticsUse!$D$93,Conversions!$A$17,IF('CompilationCalcs - Di et al.EOL'!C496=PlasticsUse!$L$93,Conversions!$A$18,Conversions!$A$16))</f>
        <v>Automotive Shredding Facility</v>
      </c>
      <c r="F496" s="11">
        <f t="shared" si="8"/>
        <v>0</v>
      </c>
      <c r="G496" t="s">
        <v>6</v>
      </c>
      <c r="H496" s="11">
        <f>IFERROR(INDEX(EndOfLife!$L$64:$P$78,MATCH($A496,EndOfLife!$A$64:$A$78,0),MATCH($G496,EndOfLife!$L$63:$P$63,0))*INDEX(PlasticsUse!$B$27:$L$41,MATCH('CompilationCalcs - Di et al.EOL'!$A496,PlasticsUse!$A$27:$A$41,0),MATCH('CompilationCalcs - Di et al.EOL'!$C496,PlasticsUse!$B$26:$L$26,0)),0)</f>
        <v>0.57022229485026599</v>
      </c>
    </row>
    <row r="497" spans="1:8" x14ac:dyDescent="0.2">
      <c r="A497" t="s">
        <v>32</v>
      </c>
      <c r="B497" t="s">
        <v>207</v>
      </c>
      <c r="C497" t="s">
        <v>100</v>
      </c>
      <c r="D497" s="11"/>
      <c r="E497" s="11" t="str">
        <f>IF('CompilationCalcs - Di et al.EOL'!C497=PlasticsUse!$D$93,Conversions!$A$17,IF('CompilationCalcs - Di et al.EOL'!C497=PlasticsUse!$L$93,Conversions!$A$18,Conversions!$A$16))</f>
        <v>Transfer Station</v>
      </c>
      <c r="F497" s="11">
        <f t="shared" si="8"/>
        <v>0</v>
      </c>
      <c r="G497" t="s">
        <v>6</v>
      </c>
      <c r="H497" s="11">
        <f>IFERROR(INDEX(EndOfLife!$L$64:$P$78,MATCH($A497,EndOfLife!$A$64:$A$78,0),MATCH($G497,EndOfLife!$L$63:$P$63,0))*INDEX(PlasticsUse!$B$27:$L$41,MATCH('CompilationCalcs - Di et al.EOL'!$A497,PlasticsUse!$A$27:$A$41,0),MATCH('CompilationCalcs - Di et al.EOL'!$C497,PlasticsUse!$B$26:$L$26,0)),0)</f>
        <v>0</v>
      </c>
    </row>
    <row r="498" spans="1:8" x14ac:dyDescent="0.2">
      <c r="A498" t="s">
        <v>32</v>
      </c>
      <c r="B498" t="s">
        <v>207</v>
      </c>
      <c r="C498" t="s">
        <v>39</v>
      </c>
      <c r="D498" s="11"/>
      <c r="E498" s="11" t="str">
        <f>IF('CompilationCalcs - Di et al.EOL'!C498=PlasticsUse!$D$93,Conversions!$A$17,IF('CompilationCalcs - Di et al.EOL'!C498=PlasticsUse!$L$93,Conversions!$A$18,Conversions!$A$16))</f>
        <v>Transfer Station</v>
      </c>
      <c r="F498" s="11">
        <f t="shared" si="8"/>
        <v>0</v>
      </c>
      <c r="G498" t="s">
        <v>6</v>
      </c>
      <c r="H498" s="11">
        <f>IFERROR(INDEX(EndOfLife!$L$64:$P$78,MATCH($A498,EndOfLife!$A$64:$A$78,0),MATCH($G498,EndOfLife!$L$63:$P$63,0))*INDEX(PlasticsUse!$B$27:$L$41,MATCH('CompilationCalcs - Di et al.EOL'!$A498,PlasticsUse!$A$27:$A$41,0),MATCH('CompilationCalcs - Di et al.EOL'!$C498,PlasticsUse!$B$26:$L$26,0)),0)</f>
        <v>0.1425555737125665</v>
      </c>
    </row>
    <row r="499" spans="1:8" x14ac:dyDescent="0.2">
      <c r="A499" t="s">
        <v>32</v>
      </c>
      <c r="B499" t="s">
        <v>207</v>
      </c>
      <c r="C499" t="s">
        <v>68</v>
      </c>
      <c r="D499" s="11"/>
      <c r="E499" s="11" t="str">
        <f>IF('CompilationCalcs - Di et al.EOL'!C499=PlasticsUse!$D$93,Conversions!$A$17,IF('CompilationCalcs - Di et al.EOL'!C499=PlasticsUse!$L$93,Conversions!$A$18,Conversions!$A$16))</f>
        <v>Transfer Station</v>
      </c>
      <c r="F499" s="11">
        <f t="shared" si="8"/>
        <v>0</v>
      </c>
      <c r="G499" t="s">
        <v>6</v>
      </c>
      <c r="H499" s="11">
        <f>IFERROR(INDEX(EndOfLife!$L$64:$P$78,MATCH($A499,EndOfLife!$A$64:$A$78,0),MATCH($G499,EndOfLife!$L$63:$P$63,0))*INDEX(PlasticsUse!$B$27:$L$41,MATCH('CompilationCalcs - Di et al.EOL'!$A499,PlasticsUse!$A$27:$A$41,0),MATCH('CompilationCalcs - Di et al.EOL'!$C499,PlasticsUse!$B$26:$L$26,0)),0)</f>
        <v>0.71277786856283243</v>
      </c>
    </row>
    <row r="500" spans="1:8" x14ac:dyDescent="0.2">
      <c r="A500" t="s">
        <v>32</v>
      </c>
      <c r="B500" t="s">
        <v>207</v>
      </c>
      <c r="C500" t="s">
        <v>63</v>
      </c>
      <c r="D500" s="11"/>
      <c r="E500" s="11" t="str">
        <f>IF('CompilationCalcs - Di et al.EOL'!C500=PlasticsUse!$D$93,Conversions!$A$17,IF('CompilationCalcs - Di et al.EOL'!C500=PlasticsUse!$L$93,Conversions!$A$18,Conversions!$A$16))</f>
        <v>Transfer Station</v>
      </c>
      <c r="F500" s="11">
        <f t="shared" si="8"/>
        <v>0</v>
      </c>
      <c r="G500" t="s">
        <v>6</v>
      </c>
      <c r="H500" s="11">
        <f>IFERROR(INDEX(EndOfLife!$L$64:$P$78,MATCH($A500,EndOfLife!$A$64:$A$78,0),MATCH($G500,EndOfLife!$L$63:$P$63,0))*INDEX(PlasticsUse!$B$27:$L$41,MATCH('CompilationCalcs - Di et al.EOL'!$A500,PlasticsUse!$A$27:$A$41,0),MATCH('CompilationCalcs - Di et al.EOL'!$C500,PlasticsUse!$B$26:$L$26,0)),0)</f>
        <v>0.1425555737125665</v>
      </c>
    </row>
    <row r="501" spans="1:8" x14ac:dyDescent="0.2">
      <c r="A501" t="s">
        <v>32</v>
      </c>
      <c r="B501" t="s">
        <v>207</v>
      </c>
      <c r="C501" t="s">
        <v>92</v>
      </c>
      <c r="D501" s="11"/>
      <c r="E501" s="11" t="str">
        <f>IF('CompilationCalcs - Di et al.EOL'!C501=PlasticsUse!$D$93,Conversions!$A$17,IF('CompilationCalcs - Di et al.EOL'!C501=PlasticsUse!$L$93,Conversions!$A$18,Conversions!$A$16))</f>
        <v>Transfer Station</v>
      </c>
      <c r="F501" s="11">
        <f t="shared" si="8"/>
        <v>0</v>
      </c>
      <c r="G501" t="s">
        <v>6</v>
      </c>
      <c r="H501" s="11">
        <f>IFERROR(INDEX(EndOfLife!$L$64:$P$78,MATCH($A501,EndOfLife!$A$64:$A$78,0),MATCH($G501,EndOfLife!$L$63:$P$63,0))*INDEX(PlasticsUse!$B$27:$L$41,MATCH('CompilationCalcs - Di et al.EOL'!$A501,PlasticsUse!$A$27:$A$41,0),MATCH('CompilationCalcs - Di et al.EOL'!$C501,PlasticsUse!$B$26:$L$26,0)),0)</f>
        <v>0</v>
      </c>
    </row>
    <row r="502" spans="1:8" x14ac:dyDescent="0.2">
      <c r="A502" t="s">
        <v>32</v>
      </c>
      <c r="B502" t="s">
        <v>207</v>
      </c>
      <c r="C502" t="s">
        <v>103</v>
      </c>
      <c r="D502" s="11"/>
      <c r="E502" s="11" t="str">
        <f>IF('CompilationCalcs - Di et al.EOL'!C502=PlasticsUse!$D$93,Conversions!$A$17,IF('CompilationCalcs - Di et al.EOL'!C502=PlasticsUse!$L$93,Conversions!$A$18,Conversions!$A$16))</f>
        <v>Transfer Station</v>
      </c>
      <c r="F502" s="11">
        <f t="shared" si="8"/>
        <v>0</v>
      </c>
      <c r="G502" t="s">
        <v>6</v>
      </c>
      <c r="H502" s="11">
        <f>IFERROR(INDEX(EndOfLife!$L$64:$P$78,MATCH($A502,EndOfLife!$A$64:$A$78,0),MATCH($G502,EndOfLife!$L$63:$P$63,0))*INDEX(PlasticsUse!$B$27:$L$41,MATCH('CompilationCalcs - Di et al.EOL'!$A502,PlasticsUse!$A$27:$A$41,0),MATCH('CompilationCalcs - Di et al.EOL'!$C502,PlasticsUse!$B$26:$L$26,0)),0)</f>
        <v>0</v>
      </c>
    </row>
    <row r="503" spans="1:8" x14ac:dyDescent="0.2">
      <c r="A503" t="s">
        <v>32</v>
      </c>
      <c r="B503" t="s">
        <v>207</v>
      </c>
      <c r="C503" t="s">
        <v>86</v>
      </c>
      <c r="D503" s="11"/>
      <c r="E503" s="11" t="str">
        <f>IF('CompilationCalcs - Di et al.EOL'!C503=PlasticsUse!$D$93,Conversions!$A$17,IF('CompilationCalcs - Di et al.EOL'!C503=PlasticsUse!$L$93,Conversions!$A$18,Conversions!$A$16))</f>
        <v>Transfer Station</v>
      </c>
      <c r="F503" s="11">
        <f t="shared" si="8"/>
        <v>0</v>
      </c>
      <c r="G503" t="s">
        <v>6</v>
      </c>
      <c r="H503" s="11">
        <f>IFERROR(INDEX(EndOfLife!$L$64:$P$78,MATCH($A503,EndOfLife!$A$64:$A$78,0),MATCH($G503,EndOfLife!$L$63:$P$63,0))*INDEX(PlasticsUse!$B$27:$L$41,MATCH('CompilationCalcs - Di et al.EOL'!$A503,PlasticsUse!$A$27:$A$41,0),MATCH('CompilationCalcs - Di et al.EOL'!$C503,PlasticsUse!$B$26:$L$26,0)),0)</f>
        <v>0.71277786856283243</v>
      </c>
    </row>
    <row r="504" spans="1:8" x14ac:dyDescent="0.2">
      <c r="A504" t="s">
        <v>32</v>
      </c>
      <c r="B504" t="s">
        <v>207</v>
      </c>
      <c r="C504" t="s">
        <v>18</v>
      </c>
      <c r="D504" s="11"/>
      <c r="E504" s="11" t="str">
        <f>IF('CompilationCalcs - Di et al.EOL'!C504=PlasticsUse!$D$93,Conversions!$A$17,IF('CompilationCalcs - Di et al.EOL'!C504=PlasticsUse!$L$93,Conversions!$A$18,Conversions!$A$16))</f>
        <v>N/A</v>
      </c>
      <c r="F504" s="11">
        <f t="shared" si="8"/>
        <v>0</v>
      </c>
      <c r="G504" t="s">
        <v>287</v>
      </c>
      <c r="H504" s="11">
        <f>IFERROR(INDEX(EndOfLife!$L$64:$P$78,MATCH($A504,EndOfLife!$A$64:$A$78,0),MATCH($G504,EndOfLife!$L$63:$P$63,0))*INDEX(PlasticsUse!$B$27:$L$41,MATCH('CompilationCalcs - Di et al.EOL'!$A504,PlasticsUse!$A$27:$A$41,0),MATCH('CompilationCalcs - Di et al.EOL'!$C504,PlasticsUse!$B$26:$L$26,0)),0)</f>
        <v>0</v>
      </c>
    </row>
    <row r="505" spans="1:8" ht="17" x14ac:dyDescent="0.2">
      <c r="A505" t="s">
        <v>32</v>
      </c>
      <c r="B505" t="s">
        <v>207</v>
      </c>
      <c r="E505" s="11" t="s">
        <v>191</v>
      </c>
      <c r="F505" s="11">
        <f t="shared" si="8"/>
        <v>0</v>
      </c>
      <c r="G505" s="28" t="s">
        <v>360</v>
      </c>
      <c r="H505" s="11">
        <f>INDEX(EndOfLife!$T$64:$X$78,MATCH('CompilationCalcs - Di et al.EOL'!$A505,EndOfLife!$S$64:$S$78,0),MATCH('CompilationCalcs - Di et al.EOL'!$G505,EndOfLife!$T$63:$X$63,0))</f>
        <v>0</v>
      </c>
    </row>
    <row r="506" spans="1:8" ht="17" x14ac:dyDescent="0.2">
      <c r="A506" t="s">
        <v>32</v>
      </c>
      <c r="B506" t="s">
        <v>207</v>
      </c>
      <c r="E506" s="11" t="s">
        <v>191</v>
      </c>
      <c r="F506" s="11">
        <f t="shared" si="8"/>
        <v>0</v>
      </c>
      <c r="G506" s="28" t="s">
        <v>361</v>
      </c>
      <c r="H506" s="11">
        <f>INDEX(EndOfLife!$T$64:$X$78,MATCH('CompilationCalcs - Di et al.EOL'!$A506,EndOfLife!$S$64:$S$78,0),MATCH('CompilationCalcs - Di et al.EOL'!$G506,EndOfLife!$T$63:$X$63,0))</f>
        <v>0</v>
      </c>
    </row>
    <row r="507" spans="1:8" ht="17" x14ac:dyDescent="0.2">
      <c r="A507" t="s">
        <v>32</v>
      </c>
      <c r="B507" t="s">
        <v>207</v>
      </c>
      <c r="E507" s="11" t="s">
        <v>360</v>
      </c>
      <c r="F507" s="11">
        <f t="shared" si="8"/>
        <v>0</v>
      </c>
      <c r="G507" s="28" t="s">
        <v>192</v>
      </c>
      <c r="H507" s="11">
        <f>INDEX(EndOfLife!$T$64:$X$78,MATCH('CompilationCalcs - Di et al.EOL'!$A507,EndOfLife!$S$64:$S$78,0),MATCH('CompilationCalcs - Di et al.EOL'!$G507,EndOfLife!$T$63:$X$63,0))</f>
        <v>0</v>
      </c>
    </row>
    <row r="508" spans="1:8" ht="17" x14ac:dyDescent="0.2">
      <c r="A508" t="s">
        <v>32</v>
      </c>
      <c r="B508" t="s">
        <v>207</v>
      </c>
      <c r="E508" s="11" t="s">
        <v>191</v>
      </c>
      <c r="F508" s="11">
        <f t="shared" si="8"/>
        <v>0</v>
      </c>
      <c r="G508" s="28" t="s">
        <v>193</v>
      </c>
      <c r="H508" s="11">
        <f>INDEX(EndOfLife!$T$64:$X$78,MATCH('CompilationCalcs - Di et al.EOL'!$A508,EndOfLife!$S$64:$S$78,0),MATCH('CompilationCalcs - Di et al.EOL'!$G508,EndOfLife!$T$63:$X$63,0))</f>
        <v>0</v>
      </c>
    </row>
    <row r="509" spans="1:8" x14ac:dyDescent="0.2">
      <c r="A509" t="s">
        <v>105</v>
      </c>
      <c r="B509" t="s">
        <v>206</v>
      </c>
      <c r="C509" t="s">
        <v>38</v>
      </c>
      <c r="D509" s="11">
        <f>INDEX(PlasticsUse!$B$48:$L$64,MATCH('CompilationCalcs - Di et al.EOL'!$A509,PlasticsUse!$A$48:$A$64,0),MATCH('CompilationCalcs - Di et al.EOL'!$C509,PlasticsUse!$B$47:$L$47,0))</f>
        <v>0</v>
      </c>
      <c r="E509" s="11" t="str">
        <f>IF('CompilationCalcs - Di et al.EOL'!C509=PlasticsUse!$D$93,Conversions!$A$17,IF('CompilationCalcs - Di et al.EOL'!C509=PlasticsUse!$L$93,Conversions!$A$18,Conversions!$A$16))</f>
        <v>Transfer Station</v>
      </c>
      <c r="F509" s="11">
        <f>INDEX('In-Use Stocks'!$M$81:$V$97,MATCH('CompilationCalcs - Di et al.EOL'!$A509,'In-Use Stocks'!$L$81:$L$97,0),MATCH('CompilationCalcs - Di et al.EOL'!$C509,'In-Use Stocks'!$M$80:$V$80,0))</f>
        <v>0</v>
      </c>
      <c r="G509" t="s">
        <v>191</v>
      </c>
      <c r="H509" s="11">
        <f>IFERROR(INDEX(EndOfLife!$L$64:$P$78,MATCH($A509,EndOfLife!$A$64:$A$78,0),MATCH($G509,EndOfLife!$L$63:$P$63,0))*INDEX(PlasticsUse!$B$27:$L$41,MATCH('CompilationCalcs - Di et al.EOL'!$A509,PlasticsUse!$A$27:$A$41,0),MATCH('CompilationCalcs - Di et al.EOL'!$C509,PlasticsUse!$B$26:$L$26,0)),0)</f>
        <v>0</v>
      </c>
    </row>
    <row r="510" spans="1:8" x14ac:dyDescent="0.2">
      <c r="A510" t="s">
        <v>105</v>
      </c>
      <c r="B510" t="s">
        <v>206</v>
      </c>
      <c r="C510" t="s">
        <v>99</v>
      </c>
      <c r="D510" s="11">
        <f>INDEX(PlasticsUse!$B$48:$L$64,MATCH('CompilationCalcs - Di et al.EOL'!$A510,PlasticsUse!$A$48:$A$64,0),MATCH('CompilationCalcs - Di et al.EOL'!$C510,PlasticsUse!$B$47:$L$47,0))</f>
        <v>0</v>
      </c>
      <c r="E510" s="11" t="str">
        <f>IF('CompilationCalcs - Di et al.EOL'!C510=PlasticsUse!$D$93,Conversions!$A$17,IF('CompilationCalcs - Di et al.EOL'!C510=PlasticsUse!$L$93,Conversions!$A$18,Conversions!$A$16))</f>
        <v>Transfer Station</v>
      </c>
      <c r="F510" s="11">
        <f>INDEX('In-Use Stocks'!$M$81:$V$97,MATCH('CompilationCalcs - Di et al.EOL'!$A510,'In-Use Stocks'!$L$81:$L$97,0),MATCH('CompilationCalcs - Di et al.EOL'!$C510,'In-Use Stocks'!$M$80:$V$80,0))</f>
        <v>0</v>
      </c>
      <c r="G510" t="s">
        <v>191</v>
      </c>
      <c r="H510" s="11">
        <f>IFERROR(INDEX(EndOfLife!$L$64:$P$78,MATCH($A510,EndOfLife!$A$64:$A$78,0),MATCH($G510,EndOfLife!$L$63:$P$63,0))*INDEX(PlasticsUse!$B$27:$L$41,MATCH('CompilationCalcs - Di et al.EOL'!$A510,PlasticsUse!$A$27:$A$41,0),MATCH('CompilationCalcs - Di et al.EOL'!$C510,PlasticsUse!$B$26:$L$26,0)),0)</f>
        <v>0</v>
      </c>
    </row>
    <row r="511" spans="1:8" x14ac:dyDescent="0.2">
      <c r="A511" t="s">
        <v>105</v>
      </c>
      <c r="B511" t="s">
        <v>206</v>
      </c>
      <c r="C511" t="s">
        <v>69</v>
      </c>
      <c r="D511" s="11">
        <f>INDEX(PlasticsUse!$B$48:$L$64,MATCH('CompilationCalcs - Di et al.EOL'!$A511,PlasticsUse!$A$48:$A$64,0),MATCH('CompilationCalcs - Di et al.EOL'!$C511,PlasticsUse!$B$47:$L$47,0))</f>
        <v>0.71733936607132809</v>
      </c>
      <c r="E511" s="11" t="str">
        <f>IF('CompilationCalcs - Di et al.EOL'!C511=PlasticsUse!$D$93,Conversions!$A$17,IF('CompilationCalcs - Di et al.EOL'!C511=PlasticsUse!$L$93,Conversions!$A$18,Conversions!$A$16))</f>
        <v>Automotive Shredding Facility</v>
      </c>
      <c r="F511" s="11">
        <f>INDEX('In-Use Stocks'!$M$81:$V$97,MATCH('CompilationCalcs - Di et al.EOL'!$A511,'In-Use Stocks'!$L$81:$L$97,0),MATCH('CompilationCalcs - Di et al.EOL'!$C511,'In-Use Stocks'!$M$80:$V$80,0))</f>
        <v>0.72861536240787916</v>
      </c>
      <c r="G511" t="s">
        <v>191</v>
      </c>
      <c r="H511" s="11">
        <f>IFERROR(INDEX(EndOfLife!$L$64:$P$78,MATCH($A511,EndOfLife!$A$64:$A$78,0),MATCH($G511,EndOfLife!$L$63:$P$63,0))*INDEX(PlasticsUse!$B$27:$L$41,MATCH('CompilationCalcs - Di et al.EOL'!$A511,PlasticsUse!$A$27:$A$41,0),MATCH('CompilationCalcs - Di et al.EOL'!$C511,PlasticsUse!$B$26:$L$26,0)),0)</f>
        <v>0</v>
      </c>
    </row>
    <row r="512" spans="1:8" x14ac:dyDescent="0.2">
      <c r="A512" t="s">
        <v>105</v>
      </c>
      <c r="B512" t="s">
        <v>206</v>
      </c>
      <c r="C512" t="s">
        <v>100</v>
      </c>
      <c r="D512" s="11">
        <f>INDEX(PlasticsUse!$B$48:$L$64,MATCH('CompilationCalcs - Di et al.EOL'!$A512,PlasticsUse!$A$48:$A$64,0),MATCH('CompilationCalcs - Di et al.EOL'!$C512,PlasticsUse!$B$47:$L$47,0))</f>
        <v>0</v>
      </c>
      <c r="E512" s="11" t="str">
        <f>IF('CompilationCalcs - Di et al.EOL'!C512=PlasticsUse!$D$93,Conversions!$A$17,IF('CompilationCalcs - Di et al.EOL'!C512=PlasticsUse!$L$93,Conversions!$A$18,Conversions!$A$16))</f>
        <v>Transfer Station</v>
      </c>
      <c r="F512" s="11">
        <f>INDEX('In-Use Stocks'!$M$81:$V$97,MATCH('CompilationCalcs - Di et al.EOL'!$A512,'In-Use Stocks'!$L$81:$L$97,0),MATCH('CompilationCalcs - Di et al.EOL'!$C512,'In-Use Stocks'!$M$80:$V$80,0))</f>
        <v>0</v>
      </c>
      <c r="G512" t="s">
        <v>191</v>
      </c>
      <c r="H512" s="11">
        <f>IFERROR(INDEX(EndOfLife!$L$64:$P$78,MATCH($A512,EndOfLife!$A$64:$A$78,0),MATCH($G512,EndOfLife!$L$63:$P$63,0))*INDEX(PlasticsUse!$B$27:$L$41,MATCH('CompilationCalcs - Di et al.EOL'!$A512,PlasticsUse!$A$27:$A$41,0),MATCH('CompilationCalcs - Di et al.EOL'!$C512,PlasticsUse!$B$26:$L$26,0)),0)</f>
        <v>0</v>
      </c>
    </row>
    <row r="513" spans="1:8" x14ac:dyDescent="0.2">
      <c r="A513" t="s">
        <v>105</v>
      </c>
      <c r="B513" t="s">
        <v>206</v>
      </c>
      <c r="C513" t="s">
        <v>39</v>
      </c>
      <c r="D513" s="11">
        <f>INDEX(PlasticsUse!$B$48:$L$64,MATCH('CompilationCalcs - Di et al.EOL'!$A513,PlasticsUse!$A$48:$A$64,0),MATCH('CompilationCalcs - Di et al.EOL'!$C513,PlasticsUse!$B$47:$L$47,0))</f>
        <v>0</v>
      </c>
      <c r="E513" s="11" t="str">
        <f>IF('CompilationCalcs - Di et al.EOL'!C513=PlasticsUse!$D$93,Conversions!$A$17,IF('CompilationCalcs - Di et al.EOL'!C513=PlasticsUse!$L$93,Conversions!$A$18,Conversions!$A$16))</f>
        <v>Transfer Station</v>
      </c>
      <c r="F513" s="11">
        <f>INDEX('In-Use Stocks'!$M$81:$V$97,MATCH('CompilationCalcs - Di et al.EOL'!$A513,'In-Use Stocks'!$L$81:$L$97,0),MATCH('CompilationCalcs - Di et al.EOL'!$C513,'In-Use Stocks'!$M$80:$V$80,0))</f>
        <v>0</v>
      </c>
      <c r="G513" t="s">
        <v>191</v>
      </c>
      <c r="H513" s="11">
        <f>IFERROR(INDEX(EndOfLife!$L$64:$P$78,MATCH($A513,EndOfLife!$A$64:$A$78,0),MATCH($G513,EndOfLife!$L$63:$P$63,0))*INDEX(PlasticsUse!$B$27:$L$41,MATCH('CompilationCalcs - Di et al.EOL'!$A513,PlasticsUse!$A$27:$A$41,0),MATCH('CompilationCalcs - Di et al.EOL'!$C513,PlasticsUse!$B$26:$L$26,0)),0)</f>
        <v>0</v>
      </c>
    </row>
    <row r="514" spans="1:8" x14ac:dyDescent="0.2">
      <c r="A514" t="s">
        <v>105</v>
      </c>
      <c r="B514" t="s">
        <v>206</v>
      </c>
      <c r="C514" t="s">
        <v>68</v>
      </c>
      <c r="D514" s="11">
        <f>INDEX(PlasticsUse!$B$48:$L$64,MATCH('CompilationCalcs - Di et al.EOL'!$A514,PlasticsUse!$A$48:$A$64,0),MATCH('CompilationCalcs - Di et al.EOL'!$C514,PlasticsUse!$B$47:$L$47,0))</f>
        <v>0</v>
      </c>
      <c r="E514" s="11" t="str">
        <f>IF('CompilationCalcs - Di et al.EOL'!C514=PlasticsUse!$D$93,Conversions!$A$17,IF('CompilationCalcs - Di et al.EOL'!C514=PlasticsUse!$L$93,Conversions!$A$18,Conversions!$A$16))</f>
        <v>Transfer Station</v>
      </c>
      <c r="F514" s="11">
        <f>INDEX('In-Use Stocks'!$M$81:$V$97,MATCH('CompilationCalcs - Di et al.EOL'!$A514,'In-Use Stocks'!$L$81:$L$97,0),MATCH('CompilationCalcs - Di et al.EOL'!$C514,'In-Use Stocks'!$M$80:$V$80,0))</f>
        <v>0</v>
      </c>
      <c r="G514" t="s">
        <v>333</v>
      </c>
      <c r="H514" s="11">
        <f>IFERROR(INDEX(EndOfLife!$L$64:$P$78,MATCH($A514,EndOfLife!$A$64:$A$78,0),MATCH($G514,EndOfLife!$L$63:$P$63,0))*INDEX(PlasticsUse!$B$27:$L$41,MATCH('CompilationCalcs - Di et al.EOL'!$A514,PlasticsUse!$A$27:$A$41,0),MATCH('CompilationCalcs - Di et al.EOL'!$C514,PlasticsUse!$B$26:$L$26,0)),0)</f>
        <v>0</v>
      </c>
    </row>
    <row r="515" spans="1:8" x14ac:dyDescent="0.2">
      <c r="A515" t="s">
        <v>105</v>
      </c>
      <c r="B515" t="s">
        <v>206</v>
      </c>
      <c r="C515" t="s">
        <v>63</v>
      </c>
      <c r="D515" s="11">
        <f>INDEX(PlasticsUse!$B$48:$L$64,MATCH('CompilationCalcs - Di et al.EOL'!$A515,PlasticsUse!$A$48:$A$64,0),MATCH('CompilationCalcs - Di et al.EOL'!$C515,PlasticsUse!$B$47:$L$47,0))</f>
        <v>0</v>
      </c>
      <c r="E515" s="11" t="str">
        <f>IF('CompilationCalcs - Di et al.EOL'!C515=PlasticsUse!$D$93,Conversions!$A$17,IF('CompilationCalcs - Di et al.EOL'!C515=PlasticsUse!$L$93,Conversions!$A$18,Conversions!$A$16))</f>
        <v>Transfer Station</v>
      </c>
      <c r="F515" s="11">
        <f>INDEX('In-Use Stocks'!$M$81:$V$97,MATCH('CompilationCalcs - Di et al.EOL'!$A515,'In-Use Stocks'!$L$81:$L$97,0),MATCH('CompilationCalcs - Di et al.EOL'!$C515,'In-Use Stocks'!$M$80:$V$80,0))</f>
        <v>0</v>
      </c>
      <c r="G515" t="s">
        <v>191</v>
      </c>
      <c r="H515" s="11">
        <f>IFERROR(INDEX(EndOfLife!$L$64:$P$78,MATCH($A515,EndOfLife!$A$64:$A$78,0),MATCH($G515,EndOfLife!$L$63:$P$63,0))*INDEX(PlasticsUse!$B$27:$L$41,MATCH('CompilationCalcs - Di et al.EOL'!$A515,PlasticsUse!$A$27:$A$41,0),MATCH('CompilationCalcs - Di et al.EOL'!$C515,PlasticsUse!$B$26:$L$26,0)),0)</f>
        <v>0</v>
      </c>
    </row>
    <row r="516" spans="1:8" x14ac:dyDescent="0.2">
      <c r="A516" t="s">
        <v>105</v>
      </c>
      <c r="B516" t="s">
        <v>206</v>
      </c>
      <c r="C516" t="s">
        <v>92</v>
      </c>
      <c r="D516" s="11">
        <f>INDEX(PlasticsUse!$B$48:$L$64,MATCH('CompilationCalcs - Di et al.EOL'!$A516,PlasticsUse!$A$48:$A$64,0),MATCH('CompilationCalcs - Di et al.EOL'!$C516,PlasticsUse!$B$47:$L$47,0))</f>
        <v>6.2299944944160003E-2</v>
      </c>
      <c r="E516" s="11" t="str">
        <f>IF('CompilationCalcs - Di et al.EOL'!C516=PlasticsUse!$D$93,Conversions!$A$17,IF('CompilationCalcs - Di et al.EOL'!C516=PlasticsUse!$L$93,Conversions!$A$18,Conversions!$A$16))</f>
        <v>Transfer Station</v>
      </c>
      <c r="F516" s="11">
        <f>INDEX('In-Use Stocks'!$M$81:$V$97,MATCH('CompilationCalcs - Di et al.EOL'!$A516,'In-Use Stocks'!$L$81:$L$97,0),MATCH('CompilationCalcs - Di et al.EOL'!$C516,'In-Use Stocks'!$M$80:$V$80,0))</f>
        <v>5.2204894800384913E-2</v>
      </c>
      <c r="G516" t="s">
        <v>191</v>
      </c>
      <c r="H516" s="11">
        <f>IFERROR(INDEX(EndOfLife!$L$64:$P$78,MATCH($A516,EndOfLife!$A$64:$A$78,0),MATCH($G516,EndOfLife!$L$63:$P$63,0))*INDEX(PlasticsUse!$B$27:$L$41,MATCH('CompilationCalcs - Di et al.EOL'!$A516,PlasticsUse!$A$27:$A$41,0),MATCH('CompilationCalcs - Di et al.EOL'!$C516,PlasticsUse!$B$26:$L$26,0)),0)</f>
        <v>0</v>
      </c>
    </row>
    <row r="517" spans="1:8" x14ac:dyDescent="0.2">
      <c r="A517" t="s">
        <v>105</v>
      </c>
      <c r="B517" t="s">
        <v>206</v>
      </c>
      <c r="C517" t="s">
        <v>103</v>
      </c>
      <c r="D517" s="11">
        <f>INDEX(PlasticsUse!$B$48:$L$64,MATCH('CompilationCalcs - Di et al.EOL'!$A517,PlasticsUse!$A$48:$A$64,0),MATCH('CompilationCalcs - Di et al.EOL'!$C517,PlasticsUse!$B$47:$L$47,0))</f>
        <v>0.10679990561856</v>
      </c>
      <c r="E517" s="11" t="str">
        <f>IF('CompilationCalcs - Di et al.EOL'!C517=PlasticsUse!$D$93,Conversions!$A$17,IF('CompilationCalcs - Di et al.EOL'!C517=PlasticsUse!$L$93,Conversions!$A$18,Conversions!$A$16))</f>
        <v>Transfer Station</v>
      </c>
      <c r="F517" s="11">
        <f>INDEX('In-Use Stocks'!$M$81:$V$97,MATCH('CompilationCalcs - Di et al.EOL'!$A517,'In-Use Stocks'!$L$81:$L$97,0),MATCH('CompilationCalcs - Di et al.EOL'!$C517,'In-Use Stocks'!$M$80:$V$80,0))</f>
        <v>0.10385639041391555</v>
      </c>
      <c r="G517" t="s">
        <v>191</v>
      </c>
      <c r="H517" s="11">
        <f>IFERROR(INDEX(EndOfLife!$L$64:$P$78,MATCH($A517,EndOfLife!$A$64:$A$78,0),MATCH($G517,EndOfLife!$L$63:$P$63,0))*INDEX(PlasticsUse!$B$27:$L$41,MATCH('CompilationCalcs - Di et al.EOL'!$A517,PlasticsUse!$A$27:$A$41,0),MATCH('CompilationCalcs - Di et al.EOL'!$C517,PlasticsUse!$B$26:$L$26,0)),0)</f>
        <v>0</v>
      </c>
    </row>
    <row r="518" spans="1:8" x14ac:dyDescent="0.2">
      <c r="A518" t="s">
        <v>105</v>
      </c>
      <c r="B518" t="s">
        <v>206</v>
      </c>
      <c r="C518" t="s">
        <v>86</v>
      </c>
      <c r="D518" s="11">
        <f>INDEX(PlasticsUse!$B$48:$L$64,MATCH('CompilationCalcs - Di et al.EOL'!$A518,PlasticsUse!$A$48:$A$64,0),MATCH('CompilationCalcs - Di et al.EOL'!$C518,PlasticsUse!$B$47:$L$47,0))</f>
        <v>3.5599968539519041E-3</v>
      </c>
      <c r="E518" s="11" t="str">
        <f>IF('CompilationCalcs - Di et al.EOL'!C518=PlasticsUse!$D$93,Conversions!$A$17,IF('CompilationCalcs - Di et al.EOL'!C518=PlasticsUse!$L$93,Conversions!$A$18,Conversions!$A$16))</f>
        <v>Transfer Station</v>
      </c>
      <c r="F518" s="11">
        <f>INDEX('In-Use Stocks'!$M$81:$V$97,MATCH('CompilationCalcs - Di et al.EOL'!$A518,'In-Use Stocks'!$L$81:$L$97,0),MATCH('CompilationCalcs - Di et al.EOL'!$C518,'In-Use Stocks'!$M$80:$V$80,0))</f>
        <v>2.9831368457362002E-3</v>
      </c>
      <c r="G518" t="s">
        <v>191</v>
      </c>
      <c r="H518" s="11">
        <f>IFERROR(INDEX(EndOfLife!$L$64:$P$78,MATCH($A518,EndOfLife!$A$64:$A$78,0),MATCH($G518,EndOfLife!$L$63:$P$63,0))*INDEX(PlasticsUse!$B$27:$L$41,MATCH('CompilationCalcs - Di et al.EOL'!$A518,PlasticsUse!$A$27:$A$41,0),MATCH('CompilationCalcs - Di et al.EOL'!$C518,PlasticsUse!$B$26:$L$26,0)),0)</f>
        <v>0</v>
      </c>
    </row>
    <row r="519" spans="1:8" x14ac:dyDescent="0.2">
      <c r="A519" t="s">
        <v>105</v>
      </c>
      <c r="B519" t="s">
        <v>206</v>
      </c>
      <c r="C519" t="s">
        <v>18</v>
      </c>
      <c r="D519" s="11">
        <f>INDEX(PlasticsUse!$B$48:$L$64,MATCH('CompilationCalcs - Di et al.EOL'!$A519,PlasticsUse!$A$48:$A$64,0),MATCH('CompilationCalcs - Di et al.EOL'!$C519,PlasticsUse!$B$47:$L$47,0))</f>
        <v>0</v>
      </c>
      <c r="E519" s="11" t="str">
        <f>IF('CompilationCalcs - Di et al.EOL'!C519=PlasticsUse!$D$93,Conversions!$A$17,IF('CompilationCalcs - Di et al.EOL'!C519=PlasticsUse!$L$93,Conversions!$A$18,Conversions!$A$16))</f>
        <v>N/A</v>
      </c>
      <c r="F519" s="11">
        <f t="shared" si="8"/>
        <v>0</v>
      </c>
      <c r="G519" t="s">
        <v>287</v>
      </c>
      <c r="H519" s="11">
        <f>IFERROR(INDEX(EndOfLife!$L$64:$P$78,MATCH($A519,EndOfLife!$A$64:$A$78,0),MATCH($G519,EndOfLife!$L$63:$P$63,0))*INDEX(PlasticsUse!$B$27:$L$41,MATCH('CompilationCalcs - Di et al.EOL'!$A519,PlasticsUse!$A$27:$A$41,0),MATCH('CompilationCalcs - Di et al.EOL'!$C519,PlasticsUse!$B$26:$L$26,0)),0)</f>
        <v>0</v>
      </c>
    </row>
    <row r="520" spans="1:8" x14ac:dyDescent="0.2">
      <c r="A520" t="s">
        <v>105</v>
      </c>
      <c r="B520" t="s">
        <v>207</v>
      </c>
      <c r="C520" t="s">
        <v>38</v>
      </c>
      <c r="D520" s="11"/>
      <c r="E520" s="11" t="str">
        <f>IF('CompilationCalcs - Di et al.EOL'!C520=PlasticsUse!$D$93,Conversions!$A$17,IF('CompilationCalcs - Di et al.EOL'!C520=PlasticsUse!$L$93,Conversions!$A$18,Conversions!$A$16))</f>
        <v>Transfer Station</v>
      </c>
      <c r="F520" s="11">
        <f t="shared" si="8"/>
        <v>0</v>
      </c>
      <c r="G520" t="s">
        <v>5</v>
      </c>
      <c r="H520" s="11">
        <f>IFERROR(INDEX(EndOfLife!$L$64:$P$78,MATCH($A520,EndOfLife!$A$64:$A$78,0),MATCH($G520,EndOfLife!$L$63:$P$63,0))*INDEX(PlasticsUse!$B$27:$L$41,MATCH('CompilationCalcs - Di et al.EOL'!$A520,PlasticsUse!$A$27:$A$41,0),MATCH('CompilationCalcs - Di et al.EOL'!$C520,PlasticsUse!$B$26:$L$26,0)),0)</f>
        <v>0</v>
      </c>
    </row>
    <row r="521" spans="1:8" x14ac:dyDescent="0.2">
      <c r="A521" t="s">
        <v>105</v>
      </c>
      <c r="B521" t="s">
        <v>207</v>
      </c>
      <c r="C521" t="s">
        <v>99</v>
      </c>
      <c r="D521" s="11"/>
      <c r="E521" s="11" t="str">
        <f>IF('CompilationCalcs - Di et al.EOL'!C521=PlasticsUse!$D$93,Conversions!$A$17,IF('CompilationCalcs - Di et al.EOL'!C521=PlasticsUse!$L$93,Conversions!$A$18,Conversions!$A$16))</f>
        <v>Transfer Station</v>
      </c>
      <c r="F521" s="11">
        <f t="shared" si="8"/>
        <v>0</v>
      </c>
      <c r="G521" t="s">
        <v>5</v>
      </c>
      <c r="H521" s="11">
        <f>IFERROR(INDEX(EndOfLife!$L$64:$P$78,MATCH($A521,EndOfLife!$A$64:$A$78,0),MATCH($G521,EndOfLife!$L$63:$P$63,0))*INDEX(PlasticsUse!$B$27:$L$41,MATCH('CompilationCalcs - Di et al.EOL'!$A521,PlasticsUse!$A$27:$A$41,0),MATCH('CompilationCalcs - Di et al.EOL'!$C521,PlasticsUse!$B$26:$L$26,0)),0)</f>
        <v>0</v>
      </c>
    </row>
    <row r="522" spans="1:8" x14ac:dyDescent="0.2">
      <c r="A522" t="s">
        <v>105</v>
      </c>
      <c r="B522" t="s">
        <v>207</v>
      </c>
      <c r="C522" t="s">
        <v>69</v>
      </c>
      <c r="D522" s="11"/>
      <c r="E522" s="11" t="str">
        <f>IF('CompilationCalcs - Di et al.EOL'!C522=PlasticsUse!$D$93,Conversions!$A$17,IF('CompilationCalcs - Di et al.EOL'!C522=PlasticsUse!$L$93,Conversions!$A$18,Conversions!$A$16))</f>
        <v>Automotive Shredding Facility</v>
      </c>
      <c r="F522" s="11">
        <f t="shared" ref="F522" si="9">D522</f>
        <v>0</v>
      </c>
      <c r="G522" t="s">
        <v>359</v>
      </c>
      <c r="H522" s="11">
        <f>IFERROR(INDEX(EndOfLife!$L$64:$P$78,MATCH($A522,EndOfLife!$A$64:$A$78,0),MATCH($G522,EndOfLife!$L$63:$P$63,0))*INDEX(PlasticsUse!$B$27:$L$41,MATCH('CompilationCalcs - Di et al.EOL'!$A522,PlasticsUse!$A$27:$A$41,0),MATCH('CompilationCalcs - Di et al.EOL'!$C522,PlasticsUse!$B$26:$L$26,0)),0)</f>
        <v>0.22143580866915802</v>
      </c>
    </row>
    <row r="523" spans="1:8" x14ac:dyDescent="0.2">
      <c r="A523" t="s">
        <v>105</v>
      </c>
      <c r="B523" t="s">
        <v>207</v>
      </c>
      <c r="C523" t="s">
        <v>69</v>
      </c>
      <c r="D523" s="11"/>
      <c r="E523" s="11" t="str">
        <f>IF('CompilationCalcs - Di et al.EOL'!C523=PlasticsUse!$D$93,Conversions!$A$17,IF('CompilationCalcs - Di et al.EOL'!C523=PlasticsUse!$L$93,Conversions!$A$18,Conversions!$A$16))</f>
        <v>Automotive Shredding Facility</v>
      </c>
      <c r="F523" s="11">
        <f t="shared" si="8"/>
        <v>0</v>
      </c>
      <c r="G523" t="s">
        <v>5</v>
      </c>
      <c r="H523" s="11">
        <f>IFERROR(INDEX(EndOfLife!$L$64:$P$78,MATCH($A523,EndOfLife!$A$64:$A$78,0),MATCH($G523,EndOfLife!$L$63:$P$63,0))*INDEX(PlasticsUse!$B$27:$L$41,MATCH('CompilationCalcs - Di et al.EOL'!$A523,PlasticsUse!$A$27:$A$41,0),MATCH('CompilationCalcs - Di et al.EOL'!$C523,PlasticsUse!$B$26:$L$26,0)),0)</f>
        <v>0.2479619732493176</v>
      </c>
    </row>
    <row r="524" spans="1:8" x14ac:dyDescent="0.2">
      <c r="A524" t="s">
        <v>105</v>
      </c>
      <c r="B524" t="s">
        <v>207</v>
      </c>
      <c r="C524" t="s">
        <v>100</v>
      </c>
      <c r="D524" s="11"/>
      <c r="E524" s="11" t="str">
        <f>IF('CompilationCalcs - Di et al.EOL'!C524=PlasticsUse!$D$93,Conversions!$A$17,IF('CompilationCalcs - Di et al.EOL'!C524=PlasticsUse!$L$93,Conversions!$A$18,Conversions!$A$16))</f>
        <v>Transfer Station</v>
      </c>
      <c r="F524" s="11">
        <f t="shared" si="8"/>
        <v>0</v>
      </c>
      <c r="G524" t="s">
        <v>5</v>
      </c>
      <c r="H524" s="11">
        <f>IFERROR(INDEX(EndOfLife!$L$64:$P$78,MATCH($A524,EndOfLife!$A$64:$A$78,0),MATCH($G524,EndOfLife!$L$63:$P$63,0))*INDEX(PlasticsUse!$B$27:$L$41,MATCH('CompilationCalcs - Di et al.EOL'!$A524,PlasticsUse!$A$27:$A$41,0),MATCH('CompilationCalcs - Di et al.EOL'!$C524,PlasticsUse!$B$26:$L$26,0)),0)</f>
        <v>0</v>
      </c>
    </row>
    <row r="525" spans="1:8" x14ac:dyDescent="0.2">
      <c r="A525" t="s">
        <v>105</v>
      </c>
      <c r="B525" t="s">
        <v>207</v>
      </c>
      <c r="C525" t="s">
        <v>39</v>
      </c>
      <c r="D525" s="11"/>
      <c r="E525" s="11" t="str">
        <f>IF('CompilationCalcs - Di et al.EOL'!C525=PlasticsUse!$D$93,Conversions!$A$17,IF('CompilationCalcs - Di et al.EOL'!C525=PlasticsUse!$L$93,Conversions!$A$18,Conversions!$A$16))</f>
        <v>Transfer Station</v>
      </c>
      <c r="F525" s="11">
        <f t="shared" si="8"/>
        <v>0</v>
      </c>
      <c r="G525" t="s">
        <v>5</v>
      </c>
      <c r="H525" s="11">
        <f>IFERROR(INDEX(EndOfLife!$L$64:$P$78,MATCH($A525,EndOfLife!$A$64:$A$78,0),MATCH($G525,EndOfLife!$L$63:$P$63,0))*INDEX(PlasticsUse!$B$27:$L$41,MATCH('CompilationCalcs - Di et al.EOL'!$A525,PlasticsUse!$A$27:$A$41,0),MATCH('CompilationCalcs - Di et al.EOL'!$C525,PlasticsUse!$B$26:$L$26,0)),0)</f>
        <v>0</v>
      </c>
    </row>
    <row r="526" spans="1:8" x14ac:dyDescent="0.2">
      <c r="A526" t="s">
        <v>105</v>
      </c>
      <c r="B526" t="s">
        <v>207</v>
      </c>
      <c r="C526" t="s">
        <v>63</v>
      </c>
      <c r="D526" s="11"/>
      <c r="E526" s="11" t="str">
        <f>IF('CompilationCalcs - Di et al.EOL'!C526=PlasticsUse!$D$93,Conversions!$A$17,IF('CompilationCalcs - Di et al.EOL'!C526=PlasticsUse!$L$93,Conversions!$A$18,Conversions!$A$16))</f>
        <v>Transfer Station</v>
      </c>
      <c r="F526" s="11">
        <f t="shared" si="8"/>
        <v>0</v>
      </c>
      <c r="G526" t="s">
        <v>5</v>
      </c>
      <c r="H526" s="11">
        <f>IFERROR(INDEX(EndOfLife!$L$64:$P$78,MATCH($A526,EndOfLife!$A$64:$A$78,0),MATCH($G526,EndOfLife!$L$63:$P$63,0))*INDEX(PlasticsUse!$B$27:$L$41,MATCH('CompilationCalcs - Di et al.EOL'!$A526,PlasticsUse!$A$27:$A$41,0),MATCH('CompilationCalcs - Di et al.EOL'!$C526,PlasticsUse!$B$26:$L$26,0)),0)</f>
        <v>0</v>
      </c>
    </row>
    <row r="527" spans="1:8" x14ac:dyDescent="0.2">
      <c r="A527" t="s">
        <v>105</v>
      </c>
      <c r="B527" t="s">
        <v>207</v>
      </c>
      <c r="C527" t="s">
        <v>92</v>
      </c>
      <c r="D527" s="11"/>
      <c r="E527" s="11" t="str">
        <f>IF('CompilationCalcs - Di et al.EOL'!C527=PlasticsUse!$D$93,Conversions!$A$17,IF('CompilationCalcs - Di et al.EOL'!C527=PlasticsUse!$L$93,Conversions!$A$18,Conversions!$A$16))</f>
        <v>Transfer Station</v>
      </c>
      <c r="F527" s="11">
        <f t="shared" si="8"/>
        <v>0</v>
      </c>
      <c r="G527" t="s">
        <v>5</v>
      </c>
      <c r="H527" s="11">
        <f>IFERROR(INDEX(EndOfLife!$L$64:$P$78,MATCH($A527,EndOfLife!$A$64:$A$78,0),MATCH($G527,EndOfLife!$L$63:$P$63,0))*INDEX(PlasticsUse!$B$27:$L$41,MATCH('CompilationCalcs - Di et al.EOL'!$A527,PlasticsUse!$A$27:$A$41,0),MATCH('CompilationCalcs - Di et al.EOL'!$C527,PlasticsUse!$B$26:$L$26,0)),0)</f>
        <v>2.1535158967062321E-2</v>
      </c>
    </row>
    <row r="528" spans="1:8" x14ac:dyDescent="0.2">
      <c r="A528" t="s">
        <v>105</v>
      </c>
      <c r="B528" t="s">
        <v>207</v>
      </c>
      <c r="C528" t="s">
        <v>103</v>
      </c>
      <c r="D528" s="11"/>
      <c r="E528" s="11" t="str">
        <f>IF('CompilationCalcs - Di et al.EOL'!C528=PlasticsUse!$D$93,Conversions!$A$17,IF('CompilationCalcs - Di et al.EOL'!C528=PlasticsUse!$L$93,Conversions!$A$18,Conversions!$A$16))</f>
        <v>Transfer Station</v>
      </c>
      <c r="F528" s="11">
        <f t="shared" si="8"/>
        <v>0</v>
      </c>
      <c r="G528" t="s">
        <v>5</v>
      </c>
      <c r="H528" s="11">
        <f>IFERROR(INDEX(EndOfLife!$L$64:$P$78,MATCH($A528,EndOfLife!$A$64:$A$78,0),MATCH($G528,EndOfLife!$L$63:$P$63,0))*INDEX(PlasticsUse!$B$27:$L$41,MATCH('CompilationCalcs - Di et al.EOL'!$A528,PlasticsUse!$A$27:$A$41,0),MATCH('CompilationCalcs - Di et al.EOL'!$C528,PlasticsUse!$B$26:$L$26,0)),0)</f>
        <v>3.6917415372106833E-2</v>
      </c>
    </row>
    <row r="529" spans="1:8" x14ac:dyDescent="0.2">
      <c r="A529" t="s">
        <v>105</v>
      </c>
      <c r="B529" t="s">
        <v>207</v>
      </c>
      <c r="C529" t="s">
        <v>86</v>
      </c>
      <c r="D529" s="11"/>
      <c r="E529" s="11" t="str">
        <f>IF('CompilationCalcs - Di et al.EOL'!C529=PlasticsUse!$D$93,Conversions!$A$17,IF('CompilationCalcs - Di et al.EOL'!C529=PlasticsUse!$L$93,Conversions!$A$18,Conversions!$A$16))</f>
        <v>Transfer Station</v>
      </c>
      <c r="F529" s="11">
        <f t="shared" si="8"/>
        <v>0</v>
      </c>
      <c r="G529" t="s">
        <v>5</v>
      </c>
      <c r="H529" s="11">
        <f>IFERROR(INDEX(EndOfLife!$L$64:$P$78,MATCH($A529,EndOfLife!$A$64:$A$78,0),MATCH($G529,EndOfLife!$L$63:$P$63,0))*INDEX(PlasticsUse!$B$27:$L$41,MATCH('CompilationCalcs - Di et al.EOL'!$A529,PlasticsUse!$A$27:$A$41,0),MATCH('CompilationCalcs - Di et al.EOL'!$C529,PlasticsUse!$B$26:$L$26,0)),0)</f>
        <v>1.230580512403528E-3</v>
      </c>
    </row>
    <row r="530" spans="1:8" x14ac:dyDescent="0.2">
      <c r="A530" t="s">
        <v>105</v>
      </c>
      <c r="B530" t="s">
        <v>207</v>
      </c>
      <c r="C530" t="s">
        <v>18</v>
      </c>
      <c r="D530" s="11"/>
      <c r="E530" s="11" t="str">
        <f>IF('CompilationCalcs - Di et al.EOL'!C530=PlasticsUse!$D$93,Conversions!$A$17,IF('CompilationCalcs - Di et al.EOL'!C530=PlasticsUse!$L$93,Conversions!$A$18,Conversions!$A$16))</f>
        <v>N/A</v>
      </c>
      <c r="F530" s="11">
        <f t="shared" si="8"/>
        <v>0</v>
      </c>
      <c r="G530" t="s">
        <v>287</v>
      </c>
      <c r="H530" s="11">
        <f>IFERROR(INDEX(EndOfLife!$L$64:$P$78,MATCH($A530,EndOfLife!$A$64:$A$78,0),MATCH($G530,EndOfLife!$L$63:$P$63,0))*INDEX(PlasticsUse!$B$27:$L$41,MATCH('CompilationCalcs - Di et al.EOL'!$A530,PlasticsUse!$A$27:$A$41,0),MATCH('CompilationCalcs - Di et al.EOL'!$C530,PlasticsUse!$B$26:$L$26,0)),0)</f>
        <v>0</v>
      </c>
    </row>
    <row r="531" spans="1:8" x14ac:dyDescent="0.2">
      <c r="A531" t="s">
        <v>105</v>
      </c>
      <c r="B531" t="s">
        <v>207</v>
      </c>
      <c r="C531" t="s">
        <v>99</v>
      </c>
      <c r="D531" s="11"/>
      <c r="E531" s="11" t="str">
        <f>IF('CompilationCalcs - Di et al.EOL'!C531=PlasticsUse!$D$93,Conversions!$A$17,IF('CompilationCalcs - Di et al.EOL'!C531=PlasticsUse!$L$93,Conversions!$A$18,Conversions!$A$16))</f>
        <v>Transfer Station</v>
      </c>
      <c r="F531" s="11">
        <f t="shared" si="8"/>
        <v>0</v>
      </c>
      <c r="G531" t="s">
        <v>6</v>
      </c>
      <c r="H531" s="11">
        <f>IFERROR(INDEX(EndOfLife!$L$64:$P$78,MATCH($A531,EndOfLife!$A$64:$A$78,0),MATCH($G531,EndOfLife!$L$63:$P$63,0))*INDEX(PlasticsUse!$B$27:$L$41,MATCH('CompilationCalcs - Di et al.EOL'!$A531,PlasticsUse!$A$27:$A$41,0),MATCH('CompilationCalcs - Di et al.EOL'!$C531,PlasticsUse!$B$26:$L$26,0)),0)</f>
        <v>0</v>
      </c>
    </row>
    <row r="532" spans="1:8" x14ac:dyDescent="0.2">
      <c r="A532" t="s">
        <v>105</v>
      </c>
      <c r="B532" t="s">
        <v>207</v>
      </c>
      <c r="C532" t="s">
        <v>69</v>
      </c>
      <c r="D532" s="11"/>
      <c r="E532" s="11" t="str">
        <f>IF('CompilationCalcs - Di et al.EOL'!C532=PlasticsUse!$D$93,Conversions!$A$17,IF('CompilationCalcs - Di et al.EOL'!C532=PlasticsUse!$L$93,Conversions!$A$18,Conversions!$A$16))</f>
        <v>Automotive Shredding Facility</v>
      </c>
      <c r="F532" s="11">
        <f t="shared" si="8"/>
        <v>0</v>
      </c>
      <c r="G532" t="s">
        <v>6</v>
      </c>
      <c r="H532" s="11">
        <f>IFERROR(INDEX(EndOfLife!$L$64:$P$78,MATCH($A532,EndOfLife!$A$64:$A$78,0),MATCH($G532,EndOfLife!$L$63:$P$63,0))*INDEX(PlasticsUse!$B$27:$L$41,MATCH('CompilationCalcs - Di et al.EOL'!$A532,PlasticsUse!$A$27:$A$41,0),MATCH('CompilationCalcs - Di et al.EOL'!$C532,PlasticsUse!$B$26:$L$26,0)),0)</f>
        <v>0.24605600436266464</v>
      </c>
    </row>
    <row r="533" spans="1:8" x14ac:dyDescent="0.2">
      <c r="A533" t="s">
        <v>105</v>
      </c>
      <c r="B533" t="s">
        <v>207</v>
      </c>
      <c r="C533" t="s">
        <v>100</v>
      </c>
      <c r="D533" s="11"/>
      <c r="E533" s="11" t="str">
        <f>IF('CompilationCalcs - Di et al.EOL'!C533=PlasticsUse!$D$93,Conversions!$A$17,IF('CompilationCalcs - Di et al.EOL'!C533=PlasticsUse!$L$93,Conversions!$A$18,Conversions!$A$16))</f>
        <v>Transfer Station</v>
      </c>
      <c r="F533" s="11">
        <f t="shared" si="8"/>
        <v>0</v>
      </c>
      <c r="G533" t="s">
        <v>6</v>
      </c>
      <c r="H533" s="11">
        <f>IFERROR(INDEX(EndOfLife!$L$64:$P$78,MATCH($A533,EndOfLife!$A$64:$A$78,0),MATCH($G533,EndOfLife!$L$63:$P$63,0))*INDEX(PlasticsUse!$B$27:$L$41,MATCH('CompilationCalcs - Di et al.EOL'!$A533,PlasticsUse!$A$27:$A$41,0),MATCH('CompilationCalcs - Di et al.EOL'!$C533,PlasticsUse!$B$26:$L$26,0)),0)</f>
        <v>0</v>
      </c>
    </row>
    <row r="534" spans="1:8" x14ac:dyDescent="0.2">
      <c r="A534" t="s">
        <v>105</v>
      </c>
      <c r="B534" t="s">
        <v>207</v>
      </c>
      <c r="C534" t="s">
        <v>39</v>
      </c>
      <c r="D534" s="11"/>
      <c r="E534" s="11" t="str">
        <f>IF('CompilationCalcs - Di et al.EOL'!C534=PlasticsUse!$D$93,Conversions!$A$17,IF('CompilationCalcs - Di et al.EOL'!C534=PlasticsUse!$L$93,Conversions!$A$18,Conversions!$A$16))</f>
        <v>Transfer Station</v>
      </c>
      <c r="F534" s="11">
        <f t="shared" si="8"/>
        <v>0</v>
      </c>
      <c r="G534" t="s">
        <v>6</v>
      </c>
      <c r="H534" s="11">
        <f>IFERROR(INDEX(EndOfLife!$L$64:$P$78,MATCH($A534,EndOfLife!$A$64:$A$78,0),MATCH($G534,EndOfLife!$L$63:$P$63,0))*INDEX(PlasticsUse!$B$27:$L$41,MATCH('CompilationCalcs - Di et al.EOL'!$A534,PlasticsUse!$A$27:$A$41,0),MATCH('CompilationCalcs - Di et al.EOL'!$C534,PlasticsUse!$B$26:$L$26,0)),0)</f>
        <v>0</v>
      </c>
    </row>
    <row r="535" spans="1:8" x14ac:dyDescent="0.2">
      <c r="A535" t="s">
        <v>105</v>
      </c>
      <c r="B535" t="s">
        <v>207</v>
      </c>
      <c r="C535" t="s">
        <v>68</v>
      </c>
      <c r="D535" s="11"/>
      <c r="E535" s="11" t="str">
        <f>IF('CompilationCalcs - Di et al.EOL'!C535=PlasticsUse!$D$93,Conversions!$A$17,IF('CompilationCalcs - Di et al.EOL'!C535=PlasticsUse!$L$93,Conversions!$A$18,Conversions!$A$16))</f>
        <v>Transfer Station</v>
      </c>
      <c r="F535" s="11">
        <f t="shared" si="8"/>
        <v>0</v>
      </c>
      <c r="G535" t="s">
        <v>6</v>
      </c>
      <c r="H535" s="11">
        <f>IFERROR(INDEX(EndOfLife!$L$64:$P$78,MATCH($A535,EndOfLife!$A$64:$A$78,0),MATCH($G535,EndOfLife!$L$63:$P$63,0))*INDEX(PlasticsUse!$B$27:$L$41,MATCH('CompilationCalcs - Di et al.EOL'!$A535,PlasticsUse!$A$27:$A$41,0),MATCH('CompilationCalcs - Di et al.EOL'!$C535,PlasticsUse!$B$26:$L$26,0)),0)</f>
        <v>0</v>
      </c>
    </row>
    <row r="536" spans="1:8" x14ac:dyDescent="0.2">
      <c r="A536" t="s">
        <v>105</v>
      </c>
      <c r="B536" t="s">
        <v>207</v>
      </c>
      <c r="C536" t="s">
        <v>63</v>
      </c>
      <c r="D536" s="11"/>
      <c r="E536" s="11" t="str">
        <f>IF('CompilationCalcs - Di et al.EOL'!C536=PlasticsUse!$D$93,Conversions!$A$17,IF('CompilationCalcs - Di et al.EOL'!C536=PlasticsUse!$L$93,Conversions!$A$18,Conversions!$A$16))</f>
        <v>Transfer Station</v>
      </c>
      <c r="F536" s="11">
        <f t="shared" si="8"/>
        <v>0</v>
      </c>
      <c r="G536" t="s">
        <v>6</v>
      </c>
      <c r="H536" s="11">
        <f>IFERROR(INDEX(EndOfLife!$L$64:$P$78,MATCH($A536,EndOfLife!$A$64:$A$78,0),MATCH($G536,EndOfLife!$L$63:$P$63,0))*INDEX(PlasticsUse!$B$27:$L$41,MATCH('CompilationCalcs - Di et al.EOL'!$A536,PlasticsUse!$A$27:$A$41,0),MATCH('CompilationCalcs - Di et al.EOL'!$C536,PlasticsUse!$B$26:$L$26,0)),0)</f>
        <v>0</v>
      </c>
    </row>
    <row r="537" spans="1:8" x14ac:dyDescent="0.2">
      <c r="A537" t="s">
        <v>105</v>
      </c>
      <c r="B537" t="s">
        <v>207</v>
      </c>
      <c r="C537" t="s">
        <v>92</v>
      </c>
      <c r="D537" s="11"/>
      <c r="E537" s="11" t="str">
        <f>IF('CompilationCalcs - Di et al.EOL'!C537=PlasticsUse!$D$93,Conversions!$A$17,IF('CompilationCalcs - Di et al.EOL'!C537=PlasticsUse!$L$93,Conversions!$A$18,Conversions!$A$16))</f>
        <v>Transfer Station</v>
      </c>
      <c r="F537" s="11">
        <f t="shared" si="8"/>
        <v>0</v>
      </c>
      <c r="G537" t="s">
        <v>6</v>
      </c>
      <c r="H537" s="11">
        <f>IFERROR(INDEX(EndOfLife!$L$64:$P$78,MATCH($A537,EndOfLife!$A$64:$A$78,0),MATCH($G537,EndOfLife!$L$63:$P$63,0))*INDEX(PlasticsUse!$B$27:$L$41,MATCH('CompilationCalcs - Di et al.EOL'!$A537,PlasticsUse!$A$27:$A$41,0),MATCH('CompilationCalcs - Di et al.EOL'!$C537,PlasticsUse!$B$26:$L$26,0)),0)</f>
        <v>2.1369628170454746E-2</v>
      </c>
    </row>
    <row r="538" spans="1:8" x14ac:dyDescent="0.2">
      <c r="A538" t="s">
        <v>105</v>
      </c>
      <c r="B538" t="s">
        <v>207</v>
      </c>
      <c r="C538" t="s">
        <v>103</v>
      </c>
      <c r="D538" s="11"/>
      <c r="E538" s="11" t="str">
        <f>IF('CompilationCalcs - Di et al.EOL'!C538=PlasticsUse!$D$93,Conversions!$A$17,IF('CompilationCalcs - Di et al.EOL'!C538=PlasticsUse!$L$93,Conversions!$A$18,Conversions!$A$16))</f>
        <v>Transfer Station</v>
      </c>
      <c r="F538" s="11">
        <f t="shared" si="8"/>
        <v>0</v>
      </c>
      <c r="G538" t="s">
        <v>6</v>
      </c>
      <c r="H538" s="11">
        <f>IFERROR(INDEX(EndOfLife!$L$64:$P$78,MATCH($A538,EndOfLife!$A$64:$A$78,0),MATCH($G538,EndOfLife!$L$63:$P$63,0))*INDEX(PlasticsUse!$B$27:$L$41,MATCH('CompilationCalcs - Di et al.EOL'!$A538,PlasticsUse!$A$27:$A$41,0),MATCH('CompilationCalcs - Di et al.EOL'!$C538,PlasticsUse!$B$26:$L$26,0)),0)</f>
        <v>3.6633648292208131E-2</v>
      </c>
    </row>
    <row r="539" spans="1:8" x14ac:dyDescent="0.2">
      <c r="A539" t="s">
        <v>105</v>
      </c>
      <c r="B539" t="s">
        <v>207</v>
      </c>
      <c r="C539" t="s">
        <v>86</v>
      </c>
      <c r="D539" s="11"/>
      <c r="E539" s="11" t="str">
        <f>IF('CompilationCalcs - Di et al.EOL'!C539=PlasticsUse!$D$93,Conversions!$A$17,IF('CompilationCalcs - Di et al.EOL'!C539=PlasticsUse!$L$93,Conversions!$A$18,Conversions!$A$16))</f>
        <v>Transfer Station</v>
      </c>
      <c r="F539" s="11">
        <f t="shared" si="8"/>
        <v>0</v>
      </c>
      <c r="G539" t="s">
        <v>6</v>
      </c>
      <c r="H539" s="11">
        <f>IFERROR(INDEX(EndOfLife!$L$64:$P$78,MATCH($A539,EndOfLife!$A$64:$A$78,0),MATCH($G539,EndOfLife!$L$63:$P$63,0))*INDEX(PlasticsUse!$B$27:$L$41,MATCH('CompilationCalcs - Di et al.EOL'!$A539,PlasticsUse!$A$27:$A$41,0),MATCH('CompilationCalcs - Di et al.EOL'!$C539,PlasticsUse!$B$26:$L$26,0)),0)</f>
        <v>1.2211216097402383E-3</v>
      </c>
    </row>
    <row r="540" spans="1:8" x14ac:dyDescent="0.2">
      <c r="A540" t="s">
        <v>105</v>
      </c>
      <c r="B540" t="s">
        <v>207</v>
      </c>
      <c r="C540" t="s">
        <v>18</v>
      </c>
      <c r="D540" s="11"/>
      <c r="E540" s="11" t="str">
        <f>IF('CompilationCalcs - Di et al.EOL'!C540=PlasticsUse!$D$93,Conversions!$A$17,IF('CompilationCalcs - Di et al.EOL'!C540=PlasticsUse!$L$93,Conversions!$A$18,Conversions!$A$16))</f>
        <v>N/A</v>
      </c>
      <c r="F540" s="11">
        <f t="shared" ref="F540:F544" si="10">D540</f>
        <v>0</v>
      </c>
      <c r="G540" t="s">
        <v>287</v>
      </c>
      <c r="H540" s="11">
        <f>IFERROR(INDEX(EndOfLife!$L$64:$P$78,MATCH($A540,EndOfLife!$A$64:$A$78,0),MATCH($G540,EndOfLife!$L$63:$P$63,0))*INDEX(PlasticsUse!$B$27:$L$41,MATCH('CompilationCalcs - Di et al.EOL'!$A540,PlasticsUse!$A$27:$A$41,0),MATCH('CompilationCalcs - Di et al.EOL'!$C540,PlasticsUse!$B$26:$L$26,0)),0)</f>
        <v>0</v>
      </c>
    </row>
    <row r="541" spans="1:8" ht="17" x14ac:dyDescent="0.2">
      <c r="A541" t="s">
        <v>105</v>
      </c>
      <c r="B541" t="s">
        <v>207</v>
      </c>
      <c r="E541" s="11" t="s">
        <v>191</v>
      </c>
      <c r="F541" s="11">
        <f t="shared" si="10"/>
        <v>0</v>
      </c>
      <c r="G541" s="28" t="s">
        <v>360</v>
      </c>
      <c r="H541" s="11">
        <f>INDEX(EndOfLife!$T$64:$X$78,MATCH('CompilationCalcs - Di et al.EOL'!$A541,EndOfLife!$S$64:$S$78,0),MATCH('CompilationCalcs - Di et al.EOL'!$G541,EndOfLife!$T$63:$X$63,0))</f>
        <v>0</v>
      </c>
    </row>
    <row r="542" spans="1:8" ht="17" x14ac:dyDescent="0.2">
      <c r="A542" t="s">
        <v>105</v>
      </c>
      <c r="B542" t="s">
        <v>207</v>
      </c>
      <c r="E542" s="11" t="s">
        <v>191</v>
      </c>
      <c r="F542" s="11">
        <f t="shared" si="10"/>
        <v>0</v>
      </c>
      <c r="G542" s="28" t="s">
        <v>361</v>
      </c>
      <c r="H542" s="11">
        <f>INDEX(EndOfLife!$T$64:$X$78,MATCH('CompilationCalcs - Di et al.EOL'!$A542,EndOfLife!$S$64:$S$78,0),MATCH('CompilationCalcs - Di et al.EOL'!$G542,EndOfLife!$T$63:$X$63,0))</f>
        <v>0</v>
      </c>
    </row>
    <row r="543" spans="1:8" ht="17" x14ac:dyDescent="0.2">
      <c r="A543" t="s">
        <v>105</v>
      </c>
      <c r="B543" t="s">
        <v>207</v>
      </c>
      <c r="E543" s="11" t="s">
        <v>360</v>
      </c>
      <c r="F543" s="11">
        <f t="shared" si="10"/>
        <v>0</v>
      </c>
      <c r="G543" s="28" t="s">
        <v>192</v>
      </c>
      <c r="H543" s="11">
        <f>INDEX(EndOfLife!$T$64:$X$78,MATCH('CompilationCalcs - Di et al.EOL'!$A543,EndOfLife!$S$64:$S$78,0),MATCH('CompilationCalcs - Di et al.EOL'!$G543,EndOfLife!$T$63:$X$63,0))</f>
        <v>0</v>
      </c>
    </row>
    <row r="544" spans="1:8" ht="17" x14ac:dyDescent="0.2">
      <c r="A544" t="s">
        <v>105</v>
      </c>
      <c r="B544" t="s">
        <v>207</v>
      </c>
      <c r="E544" s="11" t="s">
        <v>191</v>
      </c>
      <c r="F544" s="11">
        <f t="shared" si="10"/>
        <v>0</v>
      </c>
      <c r="G544" s="28" t="s">
        <v>193</v>
      </c>
      <c r="H544" s="11">
        <f>INDEX(EndOfLife!$T$64:$X$78,MATCH('CompilationCalcs - Di et al.EOL'!$A544,EndOfLife!$S$64:$S$78,0),MATCH('CompilationCalcs - Di et al.EOL'!$G544,EndOfLife!$T$63:$X$63,0))</f>
        <v>0</v>
      </c>
    </row>
  </sheetData>
  <autoFilter ref="A3:L544" xr:uid="{9DFAFF53-A31F-4240-A228-A990C0CDBA8F}"/>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17</vt:i4>
      </vt:variant>
      <vt:variant>
        <vt:lpstr>Named Ranges</vt:lpstr>
      </vt:variant>
      <vt:variant>
        <vt:i4>4</vt:i4>
      </vt:variant>
    </vt:vector>
  </HeadingPairs>
  <TitlesOfParts>
    <vt:vector size="21" baseType="lpstr">
      <vt:lpstr>PlasticsDataCompilation</vt:lpstr>
      <vt:lpstr>Imports - Raw</vt:lpstr>
      <vt:lpstr>Imports - Products</vt:lpstr>
      <vt:lpstr>Import Summary</vt:lpstr>
      <vt:lpstr>PlasticsUse</vt:lpstr>
      <vt:lpstr>In-Use Stocks</vt:lpstr>
      <vt:lpstr>EndOfLife</vt:lpstr>
      <vt:lpstr>Bandwidth</vt:lpstr>
      <vt:lpstr>CompilationCalcs - Di et al.EOL</vt:lpstr>
      <vt:lpstr>CompilationCalcs - Bandwidth</vt:lpstr>
      <vt:lpstr>dataforsankey</vt:lpstr>
      <vt:lpstr>Paper Tables</vt:lpstr>
      <vt:lpstr>Paper Tables pt. 2</vt:lpstr>
      <vt:lpstr>Conversions</vt:lpstr>
      <vt:lpstr>Di et al. SD</vt:lpstr>
      <vt:lpstr>Rec. Max</vt:lpstr>
      <vt:lpstr>CompilationCalcs - EPA EOL</vt:lpstr>
      <vt:lpstr>inflation_rate</vt:lpstr>
      <vt:lpstr>kg_to_MT</vt:lpstr>
      <vt:lpstr>lb_to_kg</vt:lpstr>
      <vt:lpstr>short_ton_to_MT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Tommy Hendrickson</cp:lastModifiedBy>
  <dcterms:created xsi:type="dcterms:W3CDTF">2021-02-05T17:54:39Z</dcterms:created>
  <dcterms:modified xsi:type="dcterms:W3CDTF">2024-01-30T22:22:44Z</dcterms:modified>
</cp:coreProperties>
</file>