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ek\Desktop\tensile-tester\"/>
    </mc:Choice>
  </mc:AlternateContent>
  <xr:revisionPtr revIDLastSave="0" documentId="13_ncr:1_{EAB0ED56-90F2-4888-A480-6A0BCD749D1D}" xr6:coauthVersionLast="47" xr6:coauthVersionMax="47" xr10:uidLastSave="{00000000-0000-0000-0000-000000000000}"/>
  <bookViews>
    <workbookView xWindow="28680" yWindow="-135" windowWidth="29040" windowHeight="17640" xr2:uid="{81EA39CF-4060-4AAC-868F-B95EAB252377}"/>
  </bookViews>
  <sheets>
    <sheet name="BOM" sheetId="2" r:id="rId1"/>
    <sheet name="CALCS" sheetId="1" r:id="rId2"/>
    <sheet name="NEMA17" sheetId="6" r:id="rId3"/>
    <sheet name="SFU1204+Hardware" sheetId="3" r:id="rId4"/>
    <sheet name="Load cell" sheetId="4" r:id="rId5"/>
    <sheet name="Limit switches" sheetId="7" r:id="rId6"/>
    <sheet name="matprop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2" l="1"/>
  <c r="F22" i="2"/>
  <c r="F21" i="2"/>
  <c r="F20" i="2"/>
  <c r="F19" i="2"/>
  <c r="F18" i="2"/>
  <c r="F17" i="2"/>
  <c r="F16" i="2"/>
  <c r="O52" i="8"/>
  <c r="O50" i="8"/>
  <c r="O49" i="8"/>
  <c r="O48" i="8"/>
  <c r="O47" i="8"/>
  <c r="O142" i="8"/>
  <c r="O141" i="8"/>
  <c r="O139" i="8"/>
  <c r="O138" i="8"/>
  <c r="O137" i="8"/>
  <c r="S136" i="8"/>
  <c r="O136" i="8"/>
  <c r="O148" i="8" s="1"/>
  <c r="S91" i="8"/>
  <c r="S47" i="8"/>
  <c r="O97" i="8"/>
  <c r="O96" i="8"/>
  <c r="O94" i="8"/>
  <c r="O93" i="8"/>
  <c r="O92" i="8"/>
  <c r="O91" i="8"/>
  <c r="O103" i="8" s="1"/>
  <c r="F15" i="2"/>
  <c r="F14" i="2"/>
  <c r="F13" i="2"/>
  <c r="F12" i="2"/>
  <c r="C32" i="1"/>
  <c r="C31" i="1"/>
  <c r="F11" i="2"/>
  <c r="F10" i="2"/>
  <c r="F6" i="2"/>
  <c r="F7" i="2"/>
  <c r="F9" i="2"/>
  <c r="C72" i="1"/>
  <c r="L142" i="1" l="1"/>
  <c r="D48" i="1" s="1"/>
  <c r="L141" i="1"/>
  <c r="C48" i="1" s="1"/>
  <c r="P27" i="8" l="1"/>
  <c r="P23" i="8"/>
  <c r="P24" i="8"/>
  <c r="P25" i="8"/>
  <c r="P22" i="8"/>
  <c r="P34" i="8" s="1"/>
  <c r="C12" i="1" a="1"/>
  <c r="C12" i="1" s="1"/>
  <c r="C17" i="1" s="1"/>
  <c r="C71" i="1"/>
  <c r="C33" i="1"/>
  <c r="C6" i="1"/>
  <c r="C65" i="1"/>
  <c r="C70" i="1" s="1"/>
  <c r="F8" i="2"/>
  <c r="F5" i="2"/>
  <c r="C23" i="1"/>
  <c r="C25" i="1" l="1"/>
  <c r="C34" i="1" s="1"/>
  <c r="C36" i="1" s="1"/>
  <c r="C18" i="1"/>
  <c r="C66" i="1"/>
  <c r="C13" i="1"/>
  <c r="C73" i="1" l="1"/>
  <c r="E47" i="1" s="1"/>
  <c r="C19" i="1"/>
  <c r="D18" i="1"/>
  <c r="H41" i="1" s="1"/>
  <c r="C20" i="1" l="1"/>
  <c r="D20" i="1" s="1"/>
  <c r="D1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<sst xmlns="http://schemas.openxmlformats.org/spreadsheetml/2006/main" count="247" uniqueCount="159">
  <si>
    <t>Nm</t>
  </si>
  <si>
    <t>m</t>
  </si>
  <si>
    <t>rpm</t>
  </si>
  <si>
    <t>N</t>
  </si>
  <si>
    <t>kg</t>
  </si>
  <si>
    <t>lb</t>
  </si>
  <si>
    <t>-</t>
  </si>
  <si>
    <t>Max speed</t>
  </si>
  <si>
    <t>mm/s</t>
  </si>
  <si>
    <t>qty</t>
  </si>
  <si>
    <t>subtotal</t>
  </si>
  <si>
    <t>total</t>
  </si>
  <si>
    <t>TOTAL</t>
  </si>
  <si>
    <t>Gear Ratio</t>
  </si>
  <si>
    <t>Max motor RPM</t>
  </si>
  <si>
    <t>https://www.amazon.com/dp/B00QEUFRXK?psc=1&amp;smid=AWQBCGWISS7BL</t>
  </si>
  <si>
    <t>Lead pitch</t>
  </si>
  <si>
    <t>E</t>
  </si>
  <si>
    <t>Pa</t>
  </si>
  <si>
    <t>L</t>
  </si>
  <si>
    <t>D</t>
  </si>
  <si>
    <t>I</t>
  </si>
  <si>
    <t>m^4</t>
  </si>
  <si>
    <t>Screw, Stepper and Gearbox sizing</t>
  </si>
  <si>
    <t>https://www.amazon.com/ANWOK-SFU1204-Machining-BallScrew-Supportsfor/dp/B09BR414X7/?th=1</t>
  </si>
  <si>
    <t>400mm SFU1204 set</t>
  </si>
  <si>
    <t>NEMA17 Stepper + 19:1 Gearbox</t>
  </si>
  <si>
    <t>Steps per rev</t>
  </si>
  <si>
    <t>mm</t>
  </si>
  <si>
    <t>PETG E</t>
  </si>
  <si>
    <t>Ftu</t>
  </si>
  <si>
    <t>Fty</t>
  </si>
  <si>
    <t>A crit yield</t>
  </si>
  <si>
    <t>A crit ultimate</t>
  </si>
  <si>
    <t>mm^2</t>
  </si>
  <si>
    <t>https://www.omc-stepperonline.com/nema-17-stepper-motor-bipolar-l-48mm-w-gear-ratio-19-1-planetary-gearbox-17hs19-1684s-pg19</t>
  </si>
  <si>
    <t>Gearbox efficiency</t>
  </si>
  <si>
    <t>Ball screw Efficiency</t>
  </si>
  <si>
    <t>Geared Torque @ screw</t>
  </si>
  <si>
    <t>Force calcs</t>
  </si>
  <si>
    <t>1 stepper</t>
  </si>
  <si>
    <t>2 steppers</t>
  </si>
  <si>
    <t>Ungeared torque @ stepper</t>
  </si>
  <si>
    <t>Geared distance per step</t>
  </si>
  <si>
    <t>Gauge length</t>
  </si>
  <si>
    <t>Microstrain per step</t>
  </si>
  <si>
    <t>Microstrain at yield</t>
  </si>
  <si>
    <t>Steps to yield</t>
  </si>
  <si>
    <t>Steps per sec</t>
  </si>
  <si>
    <t>steps/s</t>
  </si>
  <si>
    <t>steps</t>
  </si>
  <si>
    <t>ms</t>
  </si>
  <si>
    <t>ms/step</t>
  </si>
  <si>
    <t>steps/rev</t>
  </si>
  <si>
    <t>s</t>
  </si>
  <si>
    <t>A</t>
  </si>
  <si>
    <t>m^2</t>
  </si>
  <si>
    <t>Coupon stress example</t>
  </si>
  <si>
    <t>Coupon step size strain example</t>
  </si>
  <si>
    <t>Y</t>
  </si>
  <si>
    <t>B6600 Stepper Driver</t>
  </si>
  <si>
    <t>https://www.amazon.com/dp/B0BZYX7Z4Z</t>
  </si>
  <si>
    <t>Time to Yield</t>
  </si>
  <si>
    <t>Boundary conditions</t>
  </si>
  <si>
    <t>Fixed on nut side @ A</t>
  </si>
  <si>
    <t>1N compressive load conservatively applied at other end over several threads, inherantlly eccentric loading @ B</t>
  </si>
  <si>
    <t>Unit load displacement, shows eccentric loading is introduced</t>
  </si>
  <si>
    <t>SFU1204 Ball Screw</t>
  </si>
  <si>
    <t>Radial displacement support, free in axial and all rotations @ C</t>
  </si>
  <si>
    <t>Mode</t>
  </si>
  <si>
    <t>Pcrit</t>
  </si>
  <si>
    <t>1st buckling mode</t>
  </si>
  <si>
    <t>Buckling</t>
  </si>
  <si>
    <t>Beam properties</t>
  </si>
  <si>
    <t>C</t>
  </si>
  <si>
    <t>Average diameter, conservative due to I~D^4</t>
  </si>
  <si>
    <t>Euler buckling P critical</t>
  </si>
  <si>
    <t>Euler buckling</t>
  </si>
  <si>
    <t>Eigen buckling</t>
  </si>
  <si>
    <t>Conservative max length</t>
  </si>
  <si>
    <t>FEM Eigen</t>
  </si>
  <si>
    <t>Max force</t>
  </si>
  <si>
    <t>General Sizing</t>
  </si>
  <si>
    <t>Buckling Calcs</t>
  </si>
  <si>
    <t>Microstepping</t>
  </si>
  <si>
    <t>Microstepping loss</t>
  </si>
  <si>
    <t>Top Plate</t>
  </si>
  <si>
    <t>SF Yield</t>
  </si>
  <si>
    <t>SF Ultimate</t>
  </si>
  <si>
    <t>SF Buckling</t>
  </si>
  <si>
    <t>Cross Head</t>
  </si>
  <si>
    <t>Margin Summary</t>
  </si>
  <si>
    <t>Ball Screw</t>
  </si>
  <si>
    <t>Yield</t>
  </si>
  <si>
    <t>Ultimate</t>
  </si>
  <si>
    <t>MS</t>
  </si>
  <si>
    <t>Base Plate</t>
  </si>
  <si>
    <t>Columns</t>
  </si>
  <si>
    <t>Fbry</t>
  </si>
  <si>
    <t>Fbru</t>
  </si>
  <si>
    <t>e</t>
  </si>
  <si>
    <t>ksi</t>
  </si>
  <si>
    <t>KSI-&gt;PA</t>
  </si>
  <si>
    <t>nu</t>
  </si>
  <si>
    <t xml:space="preserve">Limit Load = </t>
  </si>
  <si>
    <t>Force Margin</t>
  </si>
  <si>
    <t>m/m</t>
  </si>
  <si>
    <t>S VM</t>
  </si>
  <si>
    <t>SFY</t>
  </si>
  <si>
    <t>SFU</t>
  </si>
  <si>
    <t>MSY</t>
  </si>
  <si>
    <t>MSU</t>
  </si>
  <si>
    <t>Not modeling any lateral loading</t>
  </si>
  <si>
    <t>Buckling Margin</t>
  </si>
  <si>
    <t>Simply supported @ B &amp; C. This is conservative as the ball screw will offer some moment resistance.</t>
  </si>
  <si>
    <t>10kN limit load at center bolt, +z and -z. Centered and 1.5" offset in x and y to model significant offset in load application which would introduce a bending or twisting moment @ A,D,E,F</t>
  </si>
  <si>
    <t>LF = 1, contours to Fty/1.6</t>
  </si>
  <si>
    <t>Stress peaking around center hole</t>
  </si>
  <si>
    <t>OK to omit stresses with ~1.5D of hole, slight sketchy here is threads and that this is a pretty real stress concentration</t>
  </si>
  <si>
    <t>Stress right outside of hole ~140 Mpa (still &lt;1.5D)</t>
  </si>
  <si>
    <t>Conservative analysis with simply supported ends, flexible but can count on some moment support from ball screw shaft</t>
  </si>
  <si>
    <t>Look for signed of thread damage/yielding after runs to limit load (10kN)</t>
  </si>
  <si>
    <t>https://www.amazon.com/Precision-Weighting-Weighing-Controller-Indicator/dp/B07B48PWHD</t>
  </si>
  <si>
    <t>1000kg load cell</t>
  </si>
  <si>
    <t>698-2RS Deep Groove Ball Bearing</t>
  </si>
  <si>
    <t>https://www.amazon.com/gp/product/B07FW35184</t>
  </si>
  <si>
    <t>Bought?</t>
  </si>
  <si>
    <t>Load Cell Amplifier - HX711</t>
  </si>
  <si>
    <t>https://www.amazon.com/gp/product/B079LVMC6X</t>
  </si>
  <si>
    <t>https://www.aliexpress.us/item/3256806490105856.html?spm=a2g0o.productlist.main.2.2c929be6uX5EYn&amp;algo_pvid=e987e321-4912-4bc0-912b-22c62e23f300&amp;algo_exp_id=e987e321-4912-4bc0-912b-22c62e23f300-1&amp;pdp_ext_f=%7B%22order%22%3A%22921%22%2C%22eval%22%3A%221%22%2C%22fromPage%22%3A%22search%22%7D&amp;pdp_npi=6%40dis%21USD%2186.96%2122.57%21%21%2186.96%2122.57%21%402103129f17656620782233768e7056%2112000037989416687%21sea%21US%210%21ABX%211%210%21n_tag%3A-29910%3Bd%3Afbf22e9a%3Bm03_new_user%3A-29895%3BpisId%3A5000000187467532&amp;curPageLogUid=fesNDv133Yse&amp;utparam-url=scene%3Asearch%7Cquery_from%3A%7Cx_object_id%3A1005006676420608%7C_p_origin_prod%3A</t>
  </si>
  <si>
    <t>Metric Tap and Die Set</t>
  </si>
  <si>
    <t>https://www.amazon.com/HELIFOUNER-Pieces-2020-Aluminum-Profile/dp/B0B211BNMS</t>
  </si>
  <si>
    <t>M5 T-nuts (200pcs)</t>
  </si>
  <si>
    <t>Fastenal order</t>
  </si>
  <si>
    <t>https://www.fastenal.com</t>
  </si>
  <si>
    <t>Adjustable Levelling Feet (8pcs)</t>
  </si>
  <si>
    <t>https://www.amazon.com/uxcell-Adjustable-Levelling-Furniture-Protector/dp/B0DTYJ1GDD?crid=1O8Y1TVTSMHEQ</t>
  </si>
  <si>
    <t>M16 Stainless Steel Flat Washers (10pcs)</t>
  </si>
  <si>
    <t>https://www.amazon.com/MECCANIXITY-Stainless-Assortment-Automotive-Electrical/dp/B0F4DPSQV3</t>
  </si>
  <si>
    <t>https://sendcutsend.com/materials/stainless-steel/#details</t>
  </si>
  <si>
    <t>6061-T6</t>
  </si>
  <si>
    <t>304 SS</t>
  </si>
  <si>
    <t>7075-T6</t>
  </si>
  <si>
    <t>h2</t>
  </si>
  <si>
    <t>1095 high carbon steel</t>
  </si>
  <si>
    <t>https://www.amazon.com/Xnrtop-Coupling-Diameter-Aluminum-Connector/dp/B07YD45PY8</t>
  </si>
  <si>
    <t>8mm-8mm coupler</t>
  </si>
  <si>
    <t>Aluminum extrusion (all)</t>
  </si>
  <si>
    <t>https://8020.net/checkout/#shipping</t>
  </si>
  <si>
    <t>22MM Metal Emergency Stop</t>
  </si>
  <si>
    <t>https://www.amazon.com/dp/B09YRG7T8C</t>
  </si>
  <si>
    <t>https://www.amazon.com/dp/B00065VEP4</t>
  </si>
  <si>
    <t>Tap Magic 30004P ProTap Cutting Fluid</t>
  </si>
  <si>
    <t>3/16 in 20Ft 3:1 Waterproof Heat Shrink</t>
  </si>
  <si>
    <t>https://www.amazon.com/dp/B0919F4YFZ</t>
  </si>
  <si>
    <t>https://www.amazon.com/dp/B07X142VGC</t>
  </si>
  <si>
    <t>Micro Limit Switch KW12-3 (10pcs)</t>
  </si>
  <si>
    <t>19mm Momentary Push Button Switch</t>
  </si>
  <si>
    <t>https://www.amazon.com/dp/B09BKXXRD4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</si>
</sst>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0.00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3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rgb="FF3F3F3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2" borderId="1" applyNumberFormat="0" applyAlignment="0" applyProtection="0"/>
    <xf numFmtId="0" fontId="4" fillId="3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</cellStyleXfs>
  <cellXfs count="52">
    <xf numFmtId="0" fontId="0" fillId="0" borderId="0" xfId="0"/>
    <xf numFmtId="0" fontId="2" fillId="0" borderId="0" xfId="3"/>
    <xf numFmtId="11" fontId="0" fillId="0" borderId="0" xfId="0" applyNumberFormat="1"/>
    <xf numFmtId="48" fontId="0" fillId="0" borderId="0" xfId="0" applyNumberFormat="1"/>
    <xf numFmtId="2" fontId="0" fillId="0" borderId="0" xfId="0" applyNumberFormat="1"/>
    <xf numFmtId="0" fontId="0" fillId="0" borderId="0" xfId="0" applyAlignment="1">
      <alignment vertical="center"/>
    </xf>
    <xf numFmtId="0" fontId="2" fillId="0" borderId="0" xfId="3" applyAlignment="1">
      <alignment vertical="center"/>
    </xf>
    <xf numFmtId="0" fontId="5" fillId="4" borderId="0" xfId="7" applyFont="1" applyAlignment="1">
      <alignment vertical="center"/>
    </xf>
    <xf numFmtId="0" fontId="7" fillId="4" borderId="0" xfId="7" applyAlignment="1">
      <alignment vertical="center"/>
    </xf>
    <xf numFmtId="0" fontId="3" fillId="2" borderId="1" xfId="4" applyAlignment="1">
      <alignment vertical="center"/>
    </xf>
    <xf numFmtId="0" fontId="6" fillId="0" borderId="0" xfId="6" applyAlignment="1">
      <alignment vertical="center"/>
    </xf>
    <xf numFmtId="0" fontId="3" fillId="2" borderId="1" xfId="4" applyNumberFormat="1" applyAlignment="1">
      <alignment vertical="center"/>
    </xf>
    <xf numFmtId="0" fontId="6" fillId="0" borderId="0" xfId="6" quotePrefix="1" applyAlignment="1">
      <alignment vertical="center"/>
    </xf>
    <xf numFmtId="165" fontId="4" fillId="3" borderId="2" xfId="5" applyNumberFormat="1" applyAlignment="1">
      <alignment vertical="center"/>
    </xf>
    <xf numFmtId="164" fontId="4" fillId="5" borderId="2" xfId="5" applyNumberFormat="1" applyFill="1" applyAlignment="1">
      <alignment vertical="center"/>
    </xf>
    <xf numFmtId="43" fontId="0" fillId="0" borderId="0" xfId="2" applyNumberFormat="1" applyFont="1" applyAlignment="1">
      <alignment vertical="center"/>
    </xf>
    <xf numFmtId="1" fontId="4" fillId="3" borderId="2" xfId="5" applyNumberFormat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quotePrefix="1" applyAlignment="1">
      <alignment vertical="center"/>
    </xf>
    <xf numFmtId="11" fontId="3" fillId="2" borderId="1" xfId="4" applyNumberFormat="1" applyAlignment="1">
      <alignment vertical="center"/>
    </xf>
    <xf numFmtId="0" fontId="0" fillId="0" borderId="0" xfId="1" applyNumberFormat="1" applyFont="1" applyAlignment="1">
      <alignment vertical="center"/>
    </xf>
    <xf numFmtId="164" fontId="4" fillId="3" borderId="2" xfId="5" applyNumberFormat="1" applyAlignment="1">
      <alignment vertical="center"/>
    </xf>
    <xf numFmtId="48" fontId="0" fillId="0" borderId="0" xfId="0" applyNumberFormat="1" applyAlignment="1">
      <alignment vertical="center"/>
    </xf>
    <xf numFmtId="43" fontId="0" fillId="0" borderId="0" xfId="0" applyNumberFormat="1" applyAlignment="1">
      <alignment vertical="center"/>
    </xf>
    <xf numFmtId="164" fontId="0" fillId="0" borderId="0" xfId="1" applyNumberFormat="1" applyFont="1" applyAlignment="1">
      <alignment vertical="center"/>
    </xf>
    <xf numFmtId="2" fontId="0" fillId="0" borderId="0" xfId="0" applyNumberFormat="1" applyAlignment="1">
      <alignment vertical="center"/>
    </xf>
    <xf numFmtId="0" fontId="8" fillId="0" borderId="3" xfId="8" applyAlignment="1">
      <alignment vertical="center"/>
    </xf>
    <xf numFmtId="0" fontId="9" fillId="0" borderId="4" xfId="9" applyAlignment="1">
      <alignment vertical="center"/>
    </xf>
    <xf numFmtId="48" fontId="3" fillId="2" borderId="1" xfId="4" applyNumberFormat="1" applyAlignment="1">
      <alignment vertical="center"/>
    </xf>
    <xf numFmtId="48" fontId="4" fillId="3" borderId="2" xfId="5" applyNumberFormat="1" applyAlignment="1">
      <alignment vertical="center"/>
    </xf>
    <xf numFmtId="0" fontId="7" fillId="4" borderId="6" xfId="7" applyBorder="1" applyAlignment="1">
      <alignment vertical="center"/>
    </xf>
    <xf numFmtId="0" fontId="0" fillId="0" borderId="6" xfId="0" applyBorder="1" applyAlignment="1">
      <alignment vertical="center"/>
    </xf>
    <xf numFmtId="164" fontId="0" fillId="0" borderId="6" xfId="1" applyNumberFormat="1" applyFont="1" applyBorder="1" applyAlignment="1">
      <alignment vertical="center"/>
    </xf>
    <xf numFmtId="0" fontId="0" fillId="6" borderId="6" xfId="0" applyFill="1" applyBorder="1" applyAlignment="1">
      <alignment vertical="center"/>
    </xf>
    <xf numFmtId="164" fontId="0" fillId="6" borderId="6" xfId="1" applyNumberFormat="1" applyFont="1" applyFill="1" applyBorder="1" applyAlignment="1">
      <alignment vertical="center"/>
    </xf>
    <xf numFmtId="0" fontId="3" fillId="2" borderId="1" xfId="4" quotePrefix="1" applyAlignment="1">
      <alignment vertical="center"/>
    </xf>
    <xf numFmtId="166" fontId="4" fillId="3" borderId="2" xfId="5" applyNumberFormat="1" applyAlignment="1">
      <alignment vertical="center"/>
    </xf>
    <xf numFmtId="11" fontId="0" fillId="0" borderId="0" xfId="0" applyNumberFormat="1" applyAlignment="1">
      <alignment vertical="center"/>
    </xf>
    <xf numFmtId="0" fontId="12" fillId="0" borderId="0" xfId="0" applyFont="1" applyAlignment="1">
      <alignment vertical="center"/>
    </xf>
    <xf numFmtId="11" fontId="12" fillId="0" borderId="0" xfId="0" applyNumberFormat="1" applyFont="1" applyAlignment="1">
      <alignment vertical="center"/>
    </xf>
    <xf numFmtId="2" fontId="12" fillId="0" borderId="0" xfId="0" applyNumberFormat="1" applyFont="1" applyAlignment="1">
      <alignment vertical="center"/>
    </xf>
    <xf numFmtId="2" fontId="13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43" fontId="4" fillId="3" borderId="2" xfId="5" applyNumberFormat="1" applyAlignment="1">
      <alignment vertical="center"/>
    </xf>
    <xf numFmtId="164" fontId="11" fillId="6" borderId="3" xfId="1" applyNumberFormat="1" applyFont="1" applyFill="1" applyBorder="1" applyAlignment="1">
      <alignment vertical="center"/>
    </xf>
    <xf numFmtId="0" fontId="8" fillId="6" borderId="3" xfId="8" applyFill="1" applyAlignment="1">
      <alignment vertical="center"/>
    </xf>
    <xf numFmtId="0" fontId="8" fillId="0" borderId="3" xfId="8"/>
    <xf numFmtId="0" fontId="3" fillId="2" borderId="1" xfId="4" applyAlignment="1">
      <alignment horizontal="center" vertical="center"/>
    </xf>
    <xf numFmtId="2" fontId="4" fillId="3" borderId="2" xfId="5" applyNumberFormat="1" applyAlignment="1">
      <alignment horizontal="center" vertical="center"/>
    </xf>
    <xf numFmtId="0" fontId="7" fillId="4" borderId="5" xfId="7" applyBorder="1" applyAlignment="1">
      <alignment horizontal="left" vertical="center"/>
    </xf>
    <xf numFmtId="0" fontId="5" fillId="4" borderId="0" xfId="7" applyFont="1" applyAlignment="1">
      <alignment horizontal="center" vertical="center"/>
    </xf>
  </cellXfs>
  <cellStyles count="10">
    <cellStyle name="Accent1" xfId="7" builtinId="29"/>
    <cellStyle name="Comma" xfId="1" builtinId="3"/>
    <cellStyle name="Explanatory Text" xfId="6" builtinId="53"/>
    <cellStyle name="Heading 1" xfId="8" builtinId="16"/>
    <cellStyle name="Heading 2" xfId="9" builtinId="17"/>
    <cellStyle name="Hyperlink" xfId="3" builtinId="8"/>
    <cellStyle name="Input" xfId="4" builtinId="20"/>
    <cellStyle name="Normal" xfId="0" builtinId="0"/>
    <cellStyle name="Output" xfId="5" builtinId="21"/>
    <cellStyle name="Percent" xfId="2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image" Target="../media/image18.jpeg"/><Relationship Id="rId1" Type="http://schemas.openxmlformats.org/officeDocument/2006/relationships/image" Target="../media/image1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Relationship Id="rId6" Type="http://schemas.openxmlformats.org/officeDocument/2006/relationships/image" Target="../media/image30.png"/><Relationship Id="rId5" Type="http://schemas.openxmlformats.org/officeDocument/2006/relationships/image" Target="../media/image29.png"/><Relationship Id="rId4" Type="http://schemas.openxmlformats.org/officeDocument/2006/relationships/image" Target="../media/image28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jpeg"/><Relationship Id="rId1" Type="http://schemas.openxmlformats.org/officeDocument/2006/relationships/image" Target="../media/image3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Relationship Id="rId6" Type="http://schemas.openxmlformats.org/officeDocument/2006/relationships/image" Target="../media/image38.png"/><Relationship Id="rId5" Type="http://schemas.openxmlformats.org/officeDocument/2006/relationships/image" Target="../media/image37.png"/><Relationship Id="rId4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190500</xdr:colOff>
      <xdr:row>13</xdr:row>
      <xdr:rowOff>19050</xdr:rowOff>
    </xdr:from>
    <xdr:to>
      <xdr:col>23</xdr:col>
      <xdr:colOff>94221</xdr:colOff>
      <xdr:row>24</xdr:row>
      <xdr:rowOff>148327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6338B3-B72A-430F-A8D8-06BEDAECF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15575" y="1924050"/>
          <a:ext cx="5771121" cy="222477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13</xdr:col>
      <xdr:colOff>133350</xdr:colOff>
      <xdr:row>31</xdr:row>
      <xdr:rowOff>176791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E0E77F0-226A-4B68-B2E1-93C15914D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67475" y="381000"/>
          <a:ext cx="3181350" cy="55107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13</xdr:col>
      <xdr:colOff>0</xdr:colOff>
      <xdr:row>88</xdr:row>
      <xdr:rowOff>74407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0235B43-4213-4274-AE12-931613AA1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5118" y="11407588"/>
          <a:ext cx="8852647" cy="1598407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90</xdr:row>
      <xdr:rowOff>0</xdr:rowOff>
    </xdr:from>
    <xdr:to>
      <xdr:col>13</xdr:col>
      <xdr:colOff>0</xdr:colOff>
      <xdr:row>99</xdr:row>
      <xdr:rowOff>24621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16D0126-E883-9F4F-9F6B-D48A6D733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5119" y="13693588"/>
          <a:ext cx="8852646" cy="1739121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101</xdr:row>
      <xdr:rowOff>1</xdr:rowOff>
    </xdr:from>
    <xdr:to>
      <xdr:col>13</xdr:col>
      <xdr:colOff>0</xdr:colOff>
      <xdr:row>115</xdr:row>
      <xdr:rowOff>78368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1E33A66-FF66-D81A-54BB-98A165527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5119" y="16170089"/>
          <a:ext cx="8852646" cy="2745367"/>
        </a:xfrm>
        <a:prstGeom prst="rect">
          <a:avLst/>
        </a:prstGeom>
      </xdr:spPr>
    </xdr:pic>
    <xdr:clientData/>
  </xdr:twoCellAnchor>
  <xdr:twoCellAnchor editAs="oneCell">
    <xdr:from>
      <xdr:col>7</xdr:col>
      <xdr:colOff>291353</xdr:colOff>
      <xdr:row>66</xdr:row>
      <xdr:rowOff>123265</xdr:rowOff>
    </xdr:from>
    <xdr:to>
      <xdr:col>8</xdr:col>
      <xdr:colOff>515027</xdr:colOff>
      <xdr:row>68</xdr:row>
      <xdr:rowOff>180476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68DD88B-08E1-B692-C6BE-B2C4F9EC8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18412" y="9468971"/>
          <a:ext cx="828791" cy="438211"/>
        </a:xfrm>
        <a:prstGeom prst="rect">
          <a:avLst/>
        </a:prstGeom>
      </xdr:spPr>
    </xdr:pic>
    <xdr:clientData/>
  </xdr:twoCellAnchor>
  <xdr:twoCellAnchor editAs="oneCell">
    <xdr:from>
      <xdr:col>9</xdr:col>
      <xdr:colOff>201705</xdr:colOff>
      <xdr:row>59</xdr:row>
      <xdr:rowOff>112060</xdr:rowOff>
    </xdr:from>
    <xdr:to>
      <xdr:col>13</xdr:col>
      <xdr:colOff>543870</xdr:colOff>
      <xdr:row>71</xdr:row>
      <xdr:rowOff>110699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11BF3FB-8F98-AACF-A3D9-0E9566088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238999" y="7844119"/>
          <a:ext cx="2762636" cy="2295845"/>
        </a:xfrm>
        <a:prstGeom prst="rect">
          <a:avLst/>
        </a:prstGeom>
      </xdr:spPr>
    </xdr:pic>
    <xdr:clientData/>
  </xdr:twoCellAnchor>
  <xdr:twoCellAnchor editAs="oneCell">
    <xdr:from>
      <xdr:col>15</xdr:col>
      <xdr:colOff>33618</xdr:colOff>
      <xdr:row>61</xdr:row>
      <xdr:rowOff>134471</xdr:rowOff>
    </xdr:from>
    <xdr:to>
      <xdr:col>22</xdr:col>
      <xdr:colOff>303774</xdr:colOff>
      <xdr:row>72</xdr:row>
      <xdr:rowOff>39500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E3366AC-CD65-AEE8-6FA5-E1A0D3EA6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701618" y="8258736"/>
          <a:ext cx="4696480" cy="2000529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124</xdr:row>
      <xdr:rowOff>1</xdr:rowOff>
    </xdr:from>
    <xdr:to>
      <xdr:col>8</xdr:col>
      <xdr:colOff>324909</xdr:colOff>
      <xdr:row>138</xdr:row>
      <xdr:rowOff>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B770EFF-EAB6-B460-72D2-33733CE38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5119" y="23644413"/>
          <a:ext cx="6151966" cy="26670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139</xdr:row>
      <xdr:rowOff>0</xdr:rowOff>
    </xdr:from>
    <xdr:to>
      <xdr:col>8</xdr:col>
      <xdr:colOff>265462</xdr:colOff>
      <xdr:row>153</xdr:row>
      <xdr:rowOff>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8606342-A2EB-488A-E8B1-C1ADD8794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1" y="26498550"/>
          <a:ext cx="6123336" cy="2667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12</xdr:col>
      <xdr:colOff>428625</xdr:colOff>
      <xdr:row>178</xdr:row>
      <xdr:rowOff>180603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7DB727BC-E09D-202F-7409-B249C2DAD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963650" y="24212550"/>
          <a:ext cx="8724900" cy="380010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9</xdr:col>
      <xdr:colOff>464887</xdr:colOff>
      <xdr:row>212</xdr:row>
      <xdr:rowOff>19850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274DAD-1A7C-CD3F-21F4-7A8DE0DEE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5118" y="35074412"/>
          <a:ext cx="6897063" cy="57348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182</xdr:row>
      <xdr:rowOff>0</xdr:rowOff>
    </xdr:from>
    <xdr:to>
      <xdr:col>30</xdr:col>
      <xdr:colOff>148560</xdr:colOff>
      <xdr:row>214</xdr:row>
      <xdr:rowOff>134219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436BF87-8845-8491-3D6B-2DE9F2D8C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642412" y="35074412"/>
          <a:ext cx="12631913" cy="6230219"/>
        </a:xfrm>
        <a:prstGeom prst="rect">
          <a:avLst/>
        </a:prstGeom>
      </xdr:spPr>
    </xdr:pic>
    <xdr:clientData/>
  </xdr:twoCellAnchor>
  <xdr:twoCellAnchor editAs="oneCell">
    <xdr:from>
      <xdr:col>13</xdr:col>
      <xdr:colOff>377990</xdr:colOff>
      <xdr:row>76</xdr:row>
      <xdr:rowOff>11206</xdr:rowOff>
    </xdr:from>
    <xdr:to>
      <xdr:col>19</xdr:col>
      <xdr:colOff>0</xdr:colOff>
      <xdr:row>97</xdr:row>
      <xdr:rowOff>11206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E265949-958E-DE6A-D1A3-55E3972E8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835755" y="14814177"/>
          <a:ext cx="3443216" cy="4000500"/>
        </a:xfrm>
        <a:prstGeom prst="rect">
          <a:avLst/>
        </a:prstGeom>
      </xdr:spPr>
    </xdr:pic>
    <xdr:clientData/>
  </xdr:twoCellAnchor>
  <xdr:twoCellAnchor editAs="oneCell">
    <xdr:from>
      <xdr:col>19</xdr:col>
      <xdr:colOff>377989</xdr:colOff>
      <xdr:row>76</xdr:row>
      <xdr:rowOff>0</xdr:rowOff>
    </xdr:from>
    <xdr:to>
      <xdr:col>25</xdr:col>
      <xdr:colOff>0</xdr:colOff>
      <xdr:row>97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7CDB7E4-D605-E755-A9BE-62A21F8E7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656960" y="14802971"/>
          <a:ext cx="3443216" cy="4000500"/>
        </a:xfrm>
        <a:prstGeom prst="rect">
          <a:avLst/>
        </a:prstGeom>
      </xdr:spPr>
    </xdr:pic>
    <xdr:clientData/>
  </xdr:twoCellAnchor>
  <xdr:twoCellAnchor editAs="oneCell">
    <xdr:from>
      <xdr:col>25</xdr:col>
      <xdr:colOff>187490</xdr:colOff>
      <xdr:row>76</xdr:row>
      <xdr:rowOff>0</xdr:rowOff>
    </xdr:from>
    <xdr:to>
      <xdr:col>31</xdr:col>
      <xdr:colOff>0</xdr:colOff>
      <xdr:row>97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E769FE1-CAB7-1B44-7893-85FCAA767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7287666" y="14802971"/>
          <a:ext cx="3443216" cy="400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16</xdr:col>
      <xdr:colOff>495300</xdr:colOff>
      <xdr:row>25</xdr:row>
      <xdr:rowOff>0</xdr:rowOff>
    </xdr:to>
    <xdr:pic>
      <xdr:nvPicPr>
        <xdr:cNvPr id="2" name="Picture 1" descr="vertical plotter -wiring the tb6600 - Programming - Arduino Forum">
          <a:extLst>
            <a:ext uri="{FF2B5EF4-FFF2-40B4-BE49-F238E27FC236}">
              <a16:creationId xmlns:a16="http://schemas.microsoft.com/office/drawing/2014/main" id="{83FF9138-F8CD-10A9-0B07-11B769B54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0"/>
          <a:ext cx="5981700" cy="476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190499</xdr:rowOff>
    </xdr:from>
    <xdr:to>
      <xdr:col>13</xdr:col>
      <xdr:colOff>142875</xdr:colOff>
      <xdr:row>39</xdr:row>
      <xdr:rowOff>61038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2EE7B0-EC75-60ED-724B-878238957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499"/>
          <a:ext cx="8067675" cy="27280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1</xdr:row>
      <xdr:rowOff>0</xdr:rowOff>
    </xdr:from>
    <xdr:to>
      <xdr:col>5</xdr:col>
      <xdr:colOff>514351</xdr:colOff>
      <xdr:row>17</xdr:row>
      <xdr:rowOff>51373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AA27B5A-BE8F-1B37-6AC2-F0EA38CC1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90500"/>
          <a:ext cx="3562350" cy="3099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371475</xdr:colOff>
      <xdr:row>0</xdr:row>
      <xdr:rowOff>0</xdr:rowOff>
    </xdr:from>
    <xdr:to>
      <xdr:col>22</xdr:col>
      <xdr:colOff>545421</xdr:colOff>
      <xdr:row>22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AA2D79-612D-7A34-7340-36EEEC04D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86675" y="0"/>
          <a:ext cx="6269946" cy="419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485775</xdr:colOff>
      <xdr:row>22</xdr:row>
      <xdr:rowOff>57150</xdr:rowOff>
    </xdr:from>
    <xdr:to>
      <xdr:col>21</xdr:col>
      <xdr:colOff>363981</xdr:colOff>
      <xdr:row>44</xdr:row>
      <xdr:rowOff>58134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250D82-63A7-4412-BAB1-B9F28FAA4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00975" y="4248150"/>
          <a:ext cx="5364606" cy="4191984"/>
        </a:xfrm>
        <a:prstGeom prst="rect">
          <a:avLst/>
        </a:prstGeom>
      </xdr:spPr>
    </xdr:pic>
    <xdr:clientData/>
  </xdr:twoCellAnchor>
  <xdr:twoCellAnchor editAs="oneCell">
    <xdr:from>
      <xdr:col>22</xdr:col>
      <xdr:colOff>104775</xdr:colOff>
      <xdr:row>22</xdr:row>
      <xdr:rowOff>95250</xdr:rowOff>
    </xdr:from>
    <xdr:to>
      <xdr:col>28</xdr:col>
      <xdr:colOff>295812</xdr:colOff>
      <xdr:row>40</xdr:row>
      <xdr:rowOff>95729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DA5568A-95D6-1485-EA89-74D501209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15975" y="4286250"/>
          <a:ext cx="3848637" cy="34294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8</xdr:col>
      <xdr:colOff>448994</xdr:colOff>
      <xdr:row>23</xdr:row>
      <xdr:rowOff>114301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AFDC19-F9F9-F87B-DA5C-8090C9F67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"/>
          <a:ext cx="5325794" cy="4495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28575</xdr:rowOff>
    </xdr:from>
    <xdr:to>
      <xdr:col>11</xdr:col>
      <xdr:colOff>57150</xdr:colOff>
      <xdr:row>41</xdr:row>
      <xdr:rowOff>176440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CA9292-0C25-47CC-AE7F-9C45875FC78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9327"/>
        <a:stretch>
          <a:fillRect/>
        </a:stretch>
      </xdr:blipFill>
      <xdr:spPr bwMode="auto">
        <a:xfrm>
          <a:off x="0" y="4410075"/>
          <a:ext cx="6762750" cy="35768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285750</xdr:colOff>
      <xdr:row>14</xdr:row>
      <xdr:rowOff>28575</xdr:rowOff>
    </xdr:from>
    <xdr:ext cx="327654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2A0DAE0-E51A-9B02-F9AC-18C4809B4A7F}"/>
            </a:ext>
          </a:extLst>
        </xdr:cNvPr>
        <xdr:cNvSpPr txBox="1"/>
      </xdr:nvSpPr>
      <xdr:spPr>
        <a:xfrm>
          <a:off x="10039350" y="2695575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60</a:t>
          </a:r>
        </a:p>
      </xdr:txBody>
    </xdr:sp>
    <xdr:clientData/>
  </xdr:oneCellAnchor>
  <xdr:oneCellAnchor>
    <xdr:from>
      <xdr:col>16</xdr:col>
      <xdr:colOff>323850</xdr:colOff>
      <xdr:row>13</xdr:row>
      <xdr:rowOff>47625</xdr:rowOff>
    </xdr:from>
    <xdr:ext cx="327654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78A1E34-1FDF-F40D-2FED-CD3AB987A28F}"/>
            </a:ext>
          </a:extLst>
        </xdr:cNvPr>
        <xdr:cNvSpPr txBox="1"/>
      </xdr:nvSpPr>
      <xdr:spPr>
        <a:xfrm>
          <a:off x="10077450" y="2524125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46</a:t>
          </a:r>
        </a:p>
      </xdr:txBody>
    </xdr:sp>
    <xdr:clientData/>
  </xdr:oneCellAnchor>
  <xdr:oneCellAnchor>
    <xdr:from>
      <xdr:col>14</xdr:col>
      <xdr:colOff>323850</xdr:colOff>
      <xdr:row>9</xdr:row>
      <xdr:rowOff>76200</xdr:rowOff>
    </xdr:from>
    <xdr:ext cx="327654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5A55AA3-F74F-5950-C0E7-629C934C02AE}"/>
            </a:ext>
          </a:extLst>
        </xdr:cNvPr>
        <xdr:cNvSpPr txBox="1"/>
      </xdr:nvSpPr>
      <xdr:spPr>
        <a:xfrm>
          <a:off x="8858250" y="179070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15</a:t>
          </a:r>
        </a:p>
      </xdr:txBody>
    </xdr:sp>
    <xdr:clientData/>
  </xdr:oneCellAnchor>
  <xdr:oneCellAnchor>
    <xdr:from>
      <xdr:col>14</xdr:col>
      <xdr:colOff>104775</xdr:colOff>
      <xdr:row>8</xdr:row>
      <xdr:rowOff>133350</xdr:rowOff>
    </xdr:from>
    <xdr:ext cx="327654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26AEB0C-F43B-4D4F-4432-4CF4BFF83318}"/>
            </a:ext>
          </a:extLst>
        </xdr:cNvPr>
        <xdr:cNvSpPr txBox="1"/>
      </xdr:nvSpPr>
      <xdr:spPr>
        <a:xfrm>
          <a:off x="8639175" y="165735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22</a:t>
          </a:r>
        </a:p>
      </xdr:txBody>
    </xdr:sp>
    <xdr:clientData/>
  </xdr:oneCellAnchor>
  <xdr:oneCellAnchor>
    <xdr:from>
      <xdr:col>16</xdr:col>
      <xdr:colOff>361950</xdr:colOff>
      <xdr:row>12</xdr:row>
      <xdr:rowOff>57150</xdr:rowOff>
    </xdr:from>
    <xdr:ext cx="327654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9F71A6D-B96B-F9C9-C8BD-12F6C4B36221}"/>
            </a:ext>
          </a:extLst>
        </xdr:cNvPr>
        <xdr:cNvSpPr txBox="1"/>
      </xdr:nvSpPr>
      <xdr:spPr>
        <a:xfrm>
          <a:off x="10115550" y="234315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30</a:t>
          </a:r>
        </a:p>
      </xdr:txBody>
    </xdr:sp>
    <xdr:clientData/>
  </xdr:oneCellAnchor>
  <xdr:oneCellAnchor>
    <xdr:from>
      <xdr:col>14</xdr:col>
      <xdr:colOff>0</xdr:colOff>
      <xdr:row>7</xdr:row>
      <xdr:rowOff>57150</xdr:rowOff>
    </xdr:from>
    <xdr:ext cx="436786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27BDD55-0442-6F46-7FB5-D423929C1867}"/>
            </a:ext>
          </a:extLst>
        </xdr:cNvPr>
        <xdr:cNvSpPr txBox="1"/>
      </xdr:nvSpPr>
      <xdr:spPr>
        <a:xfrm>
          <a:off x="8534400" y="1390650"/>
          <a:ext cx="43678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32.5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295274</xdr:colOff>
      <xdr:row>22</xdr:row>
      <xdr:rowOff>78203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E296B2-327B-819D-A61F-C1601FA04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52874" cy="4269203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12</xdr:col>
      <xdr:colOff>361975</xdr:colOff>
      <xdr:row>19</xdr:row>
      <xdr:rowOff>76227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7AFE31C-56B1-ADD9-A437-0FE4A980D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7200" y="0"/>
          <a:ext cx="3409975" cy="3695727"/>
        </a:xfrm>
        <a:prstGeom prst="rect">
          <a:avLst/>
        </a:prstGeom>
      </xdr:spPr>
    </xdr:pic>
    <xdr:clientData/>
  </xdr:twoCellAnchor>
  <xdr:twoCellAnchor editAs="oneCell">
    <xdr:from>
      <xdr:col>12</xdr:col>
      <xdr:colOff>257175</xdr:colOff>
      <xdr:row>0</xdr:row>
      <xdr:rowOff>0</xdr:rowOff>
    </xdr:from>
    <xdr:to>
      <xdr:col>22</xdr:col>
      <xdr:colOff>9525</xdr:colOff>
      <xdr:row>21</xdr:row>
      <xdr:rowOff>180280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D86B0AC-F463-1961-CB11-006D99725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72375" y="0"/>
          <a:ext cx="5848350" cy="41807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21</xdr:col>
      <xdr:colOff>290326</xdr:colOff>
      <xdr:row>37</xdr:row>
      <xdr:rowOff>152400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DC6BC78-7876-601F-E455-1918807A1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572000"/>
          <a:ext cx="13091926" cy="2628900"/>
        </a:xfrm>
        <a:prstGeom prst="rect">
          <a:avLst/>
        </a:prstGeom>
      </xdr:spPr>
    </xdr:pic>
    <xdr:clientData/>
  </xdr:twoCellAnchor>
  <xdr:twoCellAnchor editAs="oneCell">
    <xdr:from>
      <xdr:col>22</xdr:col>
      <xdr:colOff>190499</xdr:colOff>
      <xdr:row>0</xdr:row>
      <xdr:rowOff>38099</xdr:rowOff>
    </xdr:from>
    <xdr:to>
      <xdr:col>28</xdr:col>
      <xdr:colOff>485774</xdr:colOff>
      <xdr:row>14</xdr:row>
      <xdr:rowOff>42477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A6CD195-1C1C-0569-9FC2-79E4DF9BE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601699" y="38099"/>
          <a:ext cx="3952875" cy="2671378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40</xdr:row>
      <xdr:rowOff>19050</xdr:rowOff>
    </xdr:from>
    <xdr:to>
      <xdr:col>6</xdr:col>
      <xdr:colOff>67193</xdr:colOff>
      <xdr:row>56</xdr:row>
      <xdr:rowOff>181423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56B5430-2576-E0A4-8FCA-88FFC7643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25" y="7639050"/>
          <a:ext cx="3715268" cy="321037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513003</xdr:colOff>
      <xdr:row>12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6C9783-DF6D-ADAC-250B-EA3CE8C9F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170603" cy="2314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19</xdr:col>
      <xdr:colOff>476250</xdr:colOff>
      <xdr:row>40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6E0F00-E3EA-6BD2-C3CB-0217216C8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0"/>
          <a:ext cx="7791450" cy="779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</xdr:row>
      <xdr:rowOff>0</xdr:rowOff>
    </xdr:from>
    <xdr:to>
      <xdr:col>12</xdr:col>
      <xdr:colOff>30473</xdr:colOff>
      <xdr:row>37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52A8E2-37EA-8CF5-C6C9-B494D65F5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7345672" cy="6667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23</xdr:col>
      <xdr:colOff>515366</xdr:colOff>
      <xdr:row>17</xdr:row>
      <xdr:rowOff>76609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2E0418-7BC2-E271-1C63-60324A71B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5200" y="0"/>
          <a:ext cx="7278116" cy="2934109"/>
        </a:xfrm>
        <a:prstGeom prst="rect">
          <a:avLst/>
        </a:prstGeom>
      </xdr:spPr>
    </xdr:pic>
    <xdr:clientData/>
  </xdr:twoCellAnchor>
  <xdr:twoCellAnchor editAs="oneCell">
    <xdr:from>
      <xdr:col>16</xdr:col>
      <xdr:colOff>502992</xdr:colOff>
      <xdr:row>20</xdr:row>
      <xdr:rowOff>57150</xdr:rowOff>
    </xdr:from>
    <xdr:to>
      <xdr:col>28</xdr:col>
      <xdr:colOff>246500</xdr:colOff>
      <xdr:row>36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DB78A4-0AD1-80F1-DC0D-6F482E7B0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13742" y="3486150"/>
          <a:ext cx="7058708" cy="30765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10</xdr:col>
      <xdr:colOff>217310</xdr:colOff>
      <xdr:row>118</xdr:row>
      <xdr:rowOff>47625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BF083E6-1672-BA90-FAD9-3F66FEA5F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763000"/>
          <a:ext cx="6313310" cy="5572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10</xdr:col>
      <xdr:colOff>96114</xdr:colOff>
      <xdr:row>83</xdr:row>
      <xdr:rowOff>20090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7DD844B-01F4-CCE1-6CED-A2488C131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8534400"/>
          <a:ext cx="6192114" cy="74495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10</xdr:col>
      <xdr:colOff>196589</xdr:colOff>
      <xdr:row>156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7F447AE-13B8-A639-AFDF-38B77C115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4688800"/>
          <a:ext cx="6292589" cy="5448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HELIFOUNER-Pieces-2020-Aluminum-Profile/dp/B0B211BNMS" TargetMode="External"/><Relationship Id="rId3" Type="http://schemas.openxmlformats.org/officeDocument/2006/relationships/hyperlink" Target="https://www.omc-stepperonline.com/nema-17-stepper-motor-bipolar-l-48mm-w-gear-ratio-19-1-planetary-gearbox-17hs19-1684s-pg19" TargetMode="External"/><Relationship Id="rId7" Type="http://schemas.openxmlformats.org/officeDocument/2006/relationships/hyperlink" Target="https://www.amazon.com/Precision-Weighting-Weighing-Controller-Indicator/dp/B07B48PWHD" TargetMode="External"/><Relationship Id="rId2" Type="http://schemas.openxmlformats.org/officeDocument/2006/relationships/hyperlink" Target="https://www.amazon.com/dp/B00QEUFRXK?psc=1&amp;smid=AWQBCGWISS7BL" TargetMode="External"/><Relationship Id="rId1" Type="http://schemas.openxmlformats.org/officeDocument/2006/relationships/hyperlink" Target="https://www.amazon.com/ANWOK-SFU1204-Machining-BallScrew-Supportsfor/dp/B09BR414X7/?th=1" TargetMode="External"/><Relationship Id="rId6" Type="http://schemas.openxmlformats.org/officeDocument/2006/relationships/hyperlink" Target="https://www.amazon.com/gp/product/B079LVMC6X" TargetMode="External"/><Relationship Id="rId5" Type="http://schemas.openxmlformats.org/officeDocument/2006/relationships/hyperlink" Target="https://www.amazon.com/gp/product/B07FW35184" TargetMode="External"/><Relationship Id="rId4" Type="http://schemas.openxmlformats.org/officeDocument/2006/relationships/hyperlink" Target="https://www.amazon.com/dp/B0BZYX7Z4Z" TargetMode="External"/><Relationship Id="rId9" Type="http://schemas.openxmlformats.org/officeDocument/2006/relationships/hyperlink" Target="https://www.amazon.com/dp/B09YRG7T8C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omc-stepperonline.com/nema-17-stepper-motor-bipolar-l-48mm-w-gear-ratio-19-1-planetary-gearbox-17hs19-1684s-pg19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s://sendcutsend.com/materials/stainless-ste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63387-77C3-40B2-8FA1-237173BA8227}">
  <dimension ref="C4:R24"/>
  <sheetViews>
    <sheetView tabSelected="1" zoomScale="124" zoomScaleNormal="124" workbookViewId="0">
      <selection activeCell="G13" sqref="G13"/>
    </sheetView>
  </sheetViews>
  <sheetFormatPr defaultRowHeight="15" x14ac:dyDescent="0.25"/>
  <cols>
    <col min="3" max="3" width="35.7109375" customWidth="1"/>
  </cols>
  <sheetData>
    <row r="4" spans="3:18" x14ac:dyDescent="0.25">
      <c r="D4" t="s">
        <v>10</v>
      </c>
      <c r="E4" t="s">
        <v>9</v>
      </c>
      <c r="F4" t="s">
        <v>11</v>
      </c>
      <c r="G4" t="s">
        <v>126</v>
      </c>
    </row>
    <row r="5" spans="3:18" x14ac:dyDescent="0.25">
      <c r="C5" t="s">
        <v>123</v>
      </c>
      <c r="D5">
        <v>37.42</v>
      </c>
      <c r="E5">
        <v>1</v>
      </c>
      <c r="F5">
        <f t="shared" ref="F5:F22" si="0">E5*D5</f>
        <v>37.42</v>
      </c>
      <c r="G5" t="s">
        <v>59</v>
      </c>
      <c r="I5" s="1" t="s">
        <v>122</v>
      </c>
    </row>
    <row r="6" spans="3:18" x14ac:dyDescent="0.25">
      <c r="C6" t="s">
        <v>26</v>
      </c>
      <c r="D6">
        <v>40.43</v>
      </c>
      <c r="E6">
        <v>2</v>
      </c>
      <c r="F6">
        <f t="shared" si="0"/>
        <v>80.86</v>
      </c>
      <c r="G6" t="s">
        <v>59</v>
      </c>
      <c r="I6" s="1" t="s">
        <v>15</v>
      </c>
      <c r="R6" s="1" t="s">
        <v>35</v>
      </c>
    </row>
    <row r="7" spans="3:18" x14ac:dyDescent="0.25">
      <c r="C7" t="s">
        <v>60</v>
      </c>
      <c r="D7">
        <v>9.89</v>
      </c>
      <c r="E7">
        <v>2</v>
      </c>
      <c r="F7">
        <f t="shared" si="0"/>
        <v>19.78</v>
      </c>
      <c r="G7" t="s">
        <v>59</v>
      </c>
      <c r="I7" s="1" t="s">
        <v>61</v>
      </c>
      <c r="R7" s="1"/>
    </row>
    <row r="8" spans="3:18" x14ac:dyDescent="0.25">
      <c r="C8" t="s">
        <v>25</v>
      </c>
      <c r="D8">
        <v>35.020000000000003</v>
      </c>
      <c r="E8">
        <v>1</v>
      </c>
      <c r="F8">
        <f t="shared" si="0"/>
        <v>35.020000000000003</v>
      </c>
      <c r="G8" t="s">
        <v>59</v>
      </c>
      <c r="I8" s="1" t="s">
        <v>24</v>
      </c>
    </row>
    <row r="9" spans="3:18" x14ac:dyDescent="0.25">
      <c r="C9" t="s">
        <v>130</v>
      </c>
      <c r="D9">
        <v>22.57</v>
      </c>
      <c r="E9">
        <v>1</v>
      </c>
      <c r="F9">
        <f t="shared" si="0"/>
        <v>22.57</v>
      </c>
      <c r="G9" t="s">
        <v>59</v>
      </c>
      <c r="I9" s="1" t="s">
        <v>129</v>
      </c>
    </row>
    <row r="10" spans="3:18" x14ac:dyDescent="0.25">
      <c r="C10" t="s">
        <v>124</v>
      </c>
      <c r="D10">
        <v>5.49</v>
      </c>
      <c r="E10">
        <v>1</v>
      </c>
      <c r="F10">
        <f t="shared" si="0"/>
        <v>5.49</v>
      </c>
      <c r="G10" t="s">
        <v>59</v>
      </c>
      <c r="I10" s="1" t="s">
        <v>125</v>
      </c>
    </row>
    <row r="11" spans="3:18" x14ac:dyDescent="0.25">
      <c r="C11" t="s">
        <v>127</v>
      </c>
      <c r="D11">
        <v>11.5</v>
      </c>
      <c r="E11">
        <v>1</v>
      </c>
      <c r="F11">
        <f t="shared" si="0"/>
        <v>11.5</v>
      </c>
      <c r="G11" t="s">
        <v>59</v>
      </c>
      <c r="I11" s="1" t="s">
        <v>128</v>
      </c>
    </row>
    <row r="12" spans="3:18" x14ac:dyDescent="0.25">
      <c r="C12" t="s">
        <v>132</v>
      </c>
      <c r="D12">
        <v>6.99</v>
      </c>
      <c r="E12">
        <v>1</v>
      </c>
      <c r="F12">
        <f t="shared" si="0"/>
        <v>6.99</v>
      </c>
      <c r="G12" t="s">
        <v>59</v>
      </c>
      <c r="I12" s="1" t="s">
        <v>131</v>
      </c>
    </row>
    <row r="13" spans="3:18" x14ac:dyDescent="0.25">
      <c r="C13" t="s">
        <v>133</v>
      </c>
      <c r="D13">
        <v>73.56</v>
      </c>
      <c r="E13">
        <v>1</v>
      </c>
      <c r="F13">
        <f t="shared" si="0"/>
        <v>73.56</v>
      </c>
      <c r="G13" t="s">
        <v>59</v>
      </c>
      <c r="I13" s="1" t="s">
        <v>134</v>
      </c>
    </row>
    <row r="14" spans="3:18" x14ac:dyDescent="0.25">
      <c r="C14" t="s">
        <v>135</v>
      </c>
      <c r="D14">
        <v>7.29</v>
      </c>
      <c r="E14">
        <v>1</v>
      </c>
      <c r="F14">
        <f t="shared" si="0"/>
        <v>7.29</v>
      </c>
      <c r="G14" t="s">
        <v>59</v>
      </c>
      <c r="I14" s="1" t="s">
        <v>136</v>
      </c>
    </row>
    <row r="15" spans="3:18" x14ac:dyDescent="0.25">
      <c r="C15" t="s">
        <v>137</v>
      </c>
      <c r="D15">
        <v>7.99</v>
      </c>
      <c r="E15">
        <v>1</v>
      </c>
      <c r="F15">
        <f t="shared" si="0"/>
        <v>7.99</v>
      </c>
      <c r="G15" t="s">
        <v>59</v>
      </c>
      <c r="I15" s="1" t="s">
        <v>138</v>
      </c>
    </row>
    <row r="16" spans="3:18" x14ac:dyDescent="0.25">
      <c r="C16" t="s">
        <v>146</v>
      </c>
      <c r="D16">
        <v>8.39</v>
      </c>
      <c r="E16">
        <v>1</v>
      </c>
      <c r="F16">
        <f t="shared" si="0"/>
        <v>8.39</v>
      </c>
      <c r="G16" t="s">
        <v>59</v>
      </c>
      <c r="I16" s="1" t="s">
        <v>145</v>
      </c>
    </row>
    <row r="17" spans="3:9" x14ac:dyDescent="0.25">
      <c r="C17" t="s">
        <v>147</v>
      </c>
      <c r="D17">
        <v>84.83</v>
      </c>
      <c r="E17">
        <v>1</v>
      </c>
      <c r="F17">
        <f t="shared" si="0"/>
        <v>84.83</v>
      </c>
      <c r="G17" t="s">
        <v>59</v>
      </c>
      <c r="I17" s="1" t="s">
        <v>148</v>
      </c>
    </row>
    <row r="18" spans="3:9" x14ac:dyDescent="0.25">
      <c r="C18" t="s">
        <v>149</v>
      </c>
      <c r="D18">
        <v>9.99</v>
      </c>
      <c r="E18">
        <v>1</v>
      </c>
      <c r="F18">
        <f t="shared" si="0"/>
        <v>9.99</v>
      </c>
      <c r="G18" t="s">
        <v>59</v>
      </c>
      <c r="I18" s="1" t="s">
        <v>150</v>
      </c>
    </row>
    <row r="19" spans="3:9" x14ac:dyDescent="0.25">
      <c r="C19" t="s">
        <v>152</v>
      </c>
      <c r="D19">
        <v>4.92</v>
      </c>
      <c r="E19">
        <v>1</v>
      </c>
      <c r="F19">
        <f t="shared" si="0"/>
        <v>4.92</v>
      </c>
      <c r="G19" t="s">
        <v>59</v>
      </c>
      <c r="I19" s="1" t="s">
        <v>151</v>
      </c>
    </row>
    <row r="20" spans="3:9" x14ac:dyDescent="0.25">
      <c r="C20" t="s">
        <v>153</v>
      </c>
      <c r="D20">
        <v>7.99</v>
      </c>
      <c r="E20">
        <v>1</v>
      </c>
      <c r="F20">
        <f t="shared" si="0"/>
        <v>7.99</v>
      </c>
      <c r="G20" t="s">
        <v>59</v>
      </c>
      <c r="I20" s="1" t="s">
        <v>154</v>
      </c>
    </row>
    <row r="21" spans="3:9" x14ac:dyDescent="0.25">
      <c r="C21" t="s">
        <v>156</v>
      </c>
      <c r="D21">
        <v>5.99</v>
      </c>
      <c r="E21">
        <v>1</v>
      </c>
      <c r="F21">
        <f t="shared" si="0"/>
        <v>5.99</v>
      </c>
      <c r="G21" t="s">
        <v>59</v>
      </c>
      <c r="I21" s="1" t="s">
        <v>155</v>
      </c>
    </row>
    <row r="22" spans="3:9" x14ac:dyDescent="0.25">
      <c r="C22" t="s">
        <v>157</v>
      </c>
      <c r="D22">
        <v>13.14</v>
      </c>
      <c r="E22">
        <v>1</v>
      </c>
      <c r="F22">
        <f t="shared" si="0"/>
        <v>13.14</v>
      </c>
      <c r="G22" t="s">
        <v>59</v>
      </c>
      <c r="I22" s="1" t="s">
        <v>158</v>
      </c>
    </row>
    <row r="23" spans="3:9" x14ac:dyDescent="0.25">
      <c r="I23" s="1"/>
    </row>
    <row r="24" spans="3:9" x14ac:dyDescent="0.25">
      <c r="E24" t="s">
        <v>12</v>
      </c>
      <c r="F24">
        <f>SUM(F5:F22)</f>
        <v>443.72000000000008</v>
      </c>
    </row>
  </sheetData>
  <hyperlinks>
    <hyperlink ref="I8" r:id="rId1" xr:uid="{CB4419F2-72C9-4C94-91D9-87A0AA87BCB5}"/>
    <hyperlink ref="I6" r:id="rId2" xr:uid="{FDA0679E-F657-4EBB-8E29-6BE76788E24E}"/>
    <hyperlink ref="R6" r:id="rId3" xr:uid="{DE3FC601-CC53-4A11-B831-B13F95877B4B}"/>
    <hyperlink ref="I7" r:id="rId4" xr:uid="{1F75F018-B335-4D5B-A956-84207CFE837B}"/>
    <hyperlink ref="I10" r:id="rId5" xr:uid="{988AC50C-1FE5-4D7F-BF6B-A401D8AF39E6}"/>
    <hyperlink ref="I11" r:id="rId6" xr:uid="{B64FF050-FDD6-42D1-B4E2-ABF61E0B0344}"/>
    <hyperlink ref="I5" r:id="rId7" xr:uid="{2D82F46C-8B91-4972-9329-707B565885F8}"/>
    <hyperlink ref="I12" r:id="rId8" xr:uid="{FA1382E9-A642-42F7-B7CE-6F337549F5F5}"/>
    <hyperlink ref="I18" r:id="rId9" xr:uid="{68ACC84A-7047-4762-9CC3-8C618ED3B9B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7C4F9-4A6E-49D3-89BB-464B13C557F2}">
  <dimension ref="B2:R162"/>
  <sheetViews>
    <sheetView showGridLines="0" zoomScale="80" zoomScaleNormal="80" workbookViewId="0"/>
  </sheetViews>
  <sheetFormatPr defaultRowHeight="15" x14ac:dyDescent="0.25"/>
  <cols>
    <col min="1" max="1" width="9.140625" style="5"/>
    <col min="2" max="2" width="29.28515625" style="5" customWidth="1"/>
    <col min="3" max="4" width="11" style="5" customWidth="1"/>
    <col min="5" max="6" width="9.140625" style="5" customWidth="1"/>
    <col min="7" max="14" width="9.140625" style="5"/>
    <col min="15" max="15" width="12" style="5" bestFit="1" customWidth="1"/>
    <col min="16" max="19" width="9.140625" style="5"/>
    <col min="20" max="20" width="9" style="5" customWidth="1"/>
    <col min="21" max="21" width="9.140625" style="5"/>
    <col min="22" max="22" width="12" style="5" bestFit="1" customWidth="1"/>
    <col min="23" max="16384" width="9.140625" style="5"/>
  </cols>
  <sheetData>
    <row r="2" spans="2:9" s="26" customFormat="1" ht="20.25" thickBot="1" x14ac:dyDescent="0.3">
      <c r="B2" s="26" t="s">
        <v>82</v>
      </c>
      <c r="C2" s="46" t="s">
        <v>104</v>
      </c>
      <c r="D2" s="46"/>
      <c r="E2" s="45">
        <v>10000</v>
      </c>
      <c r="F2" s="46" t="s">
        <v>3</v>
      </c>
    </row>
    <row r="3" spans="2:9" ht="15.75" thickTop="1" x14ac:dyDescent="0.25">
      <c r="I3" s="6" t="s">
        <v>35</v>
      </c>
    </row>
    <row r="4" spans="2:9" x14ac:dyDescent="0.25">
      <c r="B4" s="7" t="s">
        <v>23</v>
      </c>
      <c r="C4" s="8"/>
      <c r="D4"/>
    </row>
    <row r="5" spans="2:9" x14ac:dyDescent="0.25">
      <c r="B5" s="8" t="s">
        <v>16</v>
      </c>
      <c r="C5" s="9">
        <v>4.0000000000000001E-3</v>
      </c>
      <c r="D5" s="10" t="s">
        <v>1</v>
      </c>
    </row>
    <row r="6" spans="2:9" x14ac:dyDescent="0.25">
      <c r="B6" s="8" t="s">
        <v>36</v>
      </c>
      <c r="C6" s="11">
        <f>0.8</f>
        <v>0.8</v>
      </c>
      <c r="D6" s="12" t="s">
        <v>6</v>
      </c>
    </row>
    <row r="7" spans="2:9" x14ac:dyDescent="0.25">
      <c r="B7" s="8" t="s">
        <v>37</v>
      </c>
      <c r="C7" s="11">
        <v>0.9</v>
      </c>
      <c r="D7" s="12" t="s">
        <v>6</v>
      </c>
    </row>
    <row r="8" spans="2:9" x14ac:dyDescent="0.25">
      <c r="B8" s="8" t="s">
        <v>27</v>
      </c>
      <c r="C8" s="11">
        <v>200</v>
      </c>
      <c r="D8" s="12" t="s">
        <v>53</v>
      </c>
    </row>
    <row r="9" spans="2:9" x14ac:dyDescent="0.25">
      <c r="B9" s="8" t="s">
        <v>14</v>
      </c>
      <c r="C9" s="9">
        <v>600</v>
      </c>
      <c r="D9" s="10" t="s">
        <v>2</v>
      </c>
    </row>
    <row r="10" spans="2:9" x14ac:dyDescent="0.25">
      <c r="B10" s="8" t="s">
        <v>13</v>
      </c>
      <c r="C10" s="9">
        <v>19.202999999999999</v>
      </c>
      <c r="D10" s="12" t="s">
        <v>6</v>
      </c>
    </row>
    <row r="11" spans="2:9" x14ac:dyDescent="0.25">
      <c r="B11" s="8" t="s">
        <v>84</v>
      </c>
      <c r="C11" s="35">
        <v>2</v>
      </c>
      <c r="D11" s="12" t="s">
        <v>6</v>
      </c>
    </row>
    <row r="12" spans="2:9" x14ac:dyDescent="0.25">
      <c r="B12" s="8" t="s">
        <v>85</v>
      </c>
      <c r="C12" s="35" cm="1">
        <f t="array" ref="C12">_xlfn.IFS(C11=1,1,C11=2,0.7)</f>
        <v>0.7</v>
      </c>
      <c r="D12" s="12" t="s">
        <v>6</v>
      </c>
    </row>
    <row r="13" spans="2:9" x14ac:dyDescent="0.25">
      <c r="B13" s="8" t="s">
        <v>7</v>
      </c>
      <c r="C13" s="13">
        <f>C9/60*C5*1000/C10</f>
        <v>2.083007863354684</v>
      </c>
      <c r="D13" s="10" t="s">
        <v>8</v>
      </c>
    </row>
    <row r="15" spans="2:9" x14ac:dyDescent="0.25">
      <c r="B15" s="7" t="s">
        <v>39</v>
      </c>
      <c r="C15" s="7" t="s">
        <v>40</v>
      </c>
      <c r="D15" s="7" t="s">
        <v>41</v>
      </c>
      <c r="E15"/>
    </row>
    <row r="16" spans="2:9" x14ac:dyDescent="0.25">
      <c r="B16" s="8" t="s">
        <v>42</v>
      </c>
      <c r="C16" s="48">
        <v>0.52</v>
      </c>
      <c r="D16" s="48"/>
      <c r="E16" s="10" t="s">
        <v>0</v>
      </c>
    </row>
    <row r="17" spans="2:7" x14ac:dyDescent="0.25">
      <c r="B17" s="8" t="s">
        <v>38</v>
      </c>
      <c r="C17" s="49">
        <f>C16*C10*C6*C12</f>
        <v>5.5919135999999998</v>
      </c>
      <c r="D17" s="49"/>
      <c r="E17" s="10" t="s">
        <v>0</v>
      </c>
    </row>
    <row r="18" spans="2:7" x14ac:dyDescent="0.25">
      <c r="B18" s="50" t="s">
        <v>81</v>
      </c>
      <c r="C18" s="14">
        <f>C17*2*PI()*$C$7/$C$5</f>
        <v>7905.3816083709826</v>
      </c>
      <c r="D18" s="14">
        <f>C18*2</f>
        <v>15810.763216741965</v>
      </c>
      <c r="E18" s="10" t="s">
        <v>3</v>
      </c>
      <c r="G18" s="15"/>
    </row>
    <row r="19" spans="2:7" x14ac:dyDescent="0.25">
      <c r="B19" s="50"/>
      <c r="C19" s="14">
        <f>C18/9.81</f>
        <v>805.8492974893968</v>
      </c>
      <c r="D19" s="14">
        <f>C19*2</f>
        <v>1611.6985949787936</v>
      </c>
      <c r="E19" s="10" t="s">
        <v>4</v>
      </c>
    </row>
    <row r="20" spans="2:7" x14ac:dyDescent="0.25">
      <c r="B20" s="50"/>
      <c r="C20" s="14">
        <f>C19*2.205</f>
        <v>1776.8977009641201</v>
      </c>
      <c r="D20" s="14">
        <f>C20*2</f>
        <v>3553.7954019282402</v>
      </c>
      <c r="E20" s="10" t="s">
        <v>5</v>
      </c>
    </row>
    <row r="22" spans="2:7" x14ac:dyDescent="0.25">
      <c r="B22" s="7" t="s">
        <v>58</v>
      </c>
      <c r="C22" s="8"/>
      <c r="D22"/>
    </row>
    <row r="23" spans="2:7" x14ac:dyDescent="0.25">
      <c r="B23" s="8" t="s">
        <v>43</v>
      </c>
      <c r="C23" s="36">
        <f>C5/C8/C10/C11*1000</f>
        <v>5.2075196583867115E-4</v>
      </c>
      <c r="D23" s="10" t="s">
        <v>28</v>
      </c>
    </row>
    <row r="24" spans="2:7" x14ac:dyDescent="0.25">
      <c r="B24" s="8" t="s">
        <v>44</v>
      </c>
      <c r="C24" s="9">
        <v>50</v>
      </c>
      <c r="D24" s="10" t="s">
        <v>28</v>
      </c>
    </row>
    <row r="25" spans="2:7" x14ac:dyDescent="0.25">
      <c r="B25" s="8" t="s">
        <v>45</v>
      </c>
      <c r="C25" s="16">
        <f>C23/C24*1000000</f>
        <v>10.415039316773424</v>
      </c>
      <c r="D25" s="12" t="s">
        <v>52</v>
      </c>
    </row>
    <row r="26" spans="2:7" x14ac:dyDescent="0.25">
      <c r="C26" s="17"/>
      <c r="D26" s="18"/>
    </row>
    <row r="27" spans="2:7" x14ac:dyDescent="0.25">
      <c r="B27" s="7" t="s">
        <v>57</v>
      </c>
      <c r="C27" s="8"/>
      <c r="D27"/>
    </row>
    <row r="28" spans="2:7" x14ac:dyDescent="0.25">
      <c r="B28" s="8" t="s">
        <v>29</v>
      </c>
      <c r="C28" s="19">
        <v>2100000000</v>
      </c>
      <c r="D28" s="10" t="s">
        <v>18</v>
      </c>
    </row>
    <row r="29" spans="2:7" x14ac:dyDescent="0.25">
      <c r="B29" s="8" t="s">
        <v>31</v>
      </c>
      <c r="C29" s="19">
        <v>50000000</v>
      </c>
      <c r="D29" s="10" t="s">
        <v>18</v>
      </c>
    </row>
    <row r="30" spans="2:7" x14ac:dyDescent="0.25">
      <c r="B30" s="8" t="s">
        <v>30</v>
      </c>
      <c r="C30" s="19">
        <v>60000000</v>
      </c>
      <c r="D30" s="10" t="s">
        <v>18</v>
      </c>
    </row>
    <row r="31" spans="2:7" x14ac:dyDescent="0.25">
      <c r="B31" s="8" t="s">
        <v>32</v>
      </c>
      <c r="C31" s="16">
        <f>D18/C29*1000*1000</f>
        <v>316.21526433483928</v>
      </c>
      <c r="D31" s="10" t="s">
        <v>34</v>
      </c>
      <c r="F31" s="20"/>
    </row>
    <row r="32" spans="2:7" x14ac:dyDescent="0.25">
      <c r="B32" s="8" t="s">
        <v>33</v>
      </c>
      <c r="C32" s="16">
        <f>D18/C30*1000*1000</f>
        <v>263.51272027903269</v>
      </c>
      <c r="D32" s="10" t="s">
        <v>34</v>
      </c>
    </row>
    <row r="33" spans="2:8" x14ac:dyDescent="0.25">
      <c r="B33" s="8" t="s">
        <v>46</v>
      </c>
      <c r="C33" s="21">
        <f>C29/C28*1000000</f>
        <v>23809.523809523809</v>
      </c>
      <c r="D33" s="12" t="s">
        <v>51</v>
      </c>
    </row>
    <row r="34" spans="2:8" x14ac:dyDescent="0.25">
      <c r="B34" s="8" t="s">
        <v>47</v>
      </c>
      <c r="C34" s="21">
        <f>C33/C25</f>
        <v>2286.071428571428</v>
      </c>
      <c r="D34" s="10" t="s">
        <v>50</v>
      </c>
    </row>
    <row r="35" spans="2:8" x14ac:dyDescent="0.25">
      <c r="B35" s="8" t="s">
        <v>48</v>
      </c>
      <c r="C35" s="9">
        <v>50</v>
      </c>
      <c r="D35" s="10" t="s">
        <v>49</v>
      </c>
    </row>
    <row r="36" spans="2:8" x14ac:dyDescent="0.25">
      <c r="B36" s="8" t="s">
        <v>62</v>
      </c>
      <c r="C36" s="21">
        <f>C34/C35</f>
        <v>45.721428571428561</v>
      </c>
      <c r="D36" s="10" t="s">
        <v>54</v>
      </c>
    </row>
    <row r="39" spans="2:8" s="26" customFormat="1" ht="20.25" thickBot="1" x14ac:dyDescent="0.3">
      <c r="B39" s="26" t="s">
        <v>91</v>
      </c>
    </row>
    <row r="40" spans="2:8" ht="15.75" thickTop="1" x14ac:dyDescent="0.25"/>
    <row r="41" spans="2:8" x14ac:dyDescent="0.25">
      <c r="B41" s="8" t="s">
        <v>87</v>
      </c>
      <c r="C41" s="9">
        <v>1.6</v>
      </c>
      <c r="D41" s="12" t="s">
        <v>6</v>
      </c>
      <c r="F41" s="7" t="s">
        <v>105</v>
      </c>
      <c r="G41" s="8"/>
      <c r="H41" s="25">
        <f>D18/E2-1</f>
        <v>0.58107632167419654</v>
      </c>
    </row>
    <row r="42" spans="2:8" x14ac:dyDescent="0.25">
      <c r="B42" s="8" t="s">
        <v>88</v>
      </c>
      <c r="C42" s="9">
        <v>2</v>
      </c>
      <c r="D42" s="12" t="s">
        <v>6</v>
      </c>
    </row>
    <row r="43" spans="2:8" x14ac:dyDescent="0.25">
      <c r="B43" s="8" t="s">
        <v>89</v>
      </c>
      <c r="C43" s="9">
        <v>2</v>
      </c>
      <c r="D43" s="12" t="s">
        <v>6</v>
      </c>
    </row>
    <row r="45" spans="2:8" x14ac:dyDescent="0.25">
      <c r="B45" s="8"/>
      <c r="C45" s="51" t="s">
        <v>95</v>
      </c>
      <c r="D45" s="51"/>
      <c r="E45" s="51"/>
    </row>
    <row r="46" spans="2:8" x14ac:dyDescent="0.25">
      <c r="B46" s="8"/>
      <c r="C46" s="7" t="s">
        <v>93</v>
      </c>
      <c r="D46" s="7" t="s">
        <v>94</v>
      </c>
      <c r="E46" s="7" t="s">
        <v>72</v>
      </c>
    </row>
    <row r="47" spans="2:8" x14ac:dyDescent="0.25">
      <c r="B47" s="7" t="s">
        <v>92</v>
      </c>
      <c r="E47" s="25">
        <f>C73</f>
        <v>5.544135762574065E-4</v>
      </c>
    </row>
    <row r="48" spans="2:8" x14ac:dyDescent="0.25">
      <c r="B48" s="7" t="s">
        <v>86</v>
      </c>
      <c r="C48" s="25">
        <f>L141</f>
        <v>7.7305826562499957E-2</v>
      </c>
      <c r="D48" s="25">
        <f>L142</f>
        <v>3.4213593500000083E-2</v>
      </c>
    </row>
    <row r="49" spans="2:5" x14ac:dyDescent="0.25">
      <c r="B49" s="7" t="s">
        <v>90</v>
      </c>
    </row>
    <row r="50" spans="2:5" x14ac:dyDescent="0.25">
      <c r="B50" s="7" t="s">
        <v>96</v>
      </c>
    </row>
    <row r="51" spans="2:5" x14ac:dyDescent="0.25">
      <c r="B51" s="7" t="s">
        <v>97</v>
      </c>
    </row>
    <row r="52" spans="2:5" x14ac:dyDescent="0.25">
      <c r="B52" s="7"/>
    </row>
    <row r="53" spans="2:5" x14ac:dyDescent="0.25">
      <c r="B53" s="7"/>
    </row>
    <row r="54" spans="2:5" x14ac:dyDescent="0.25">
      <c r="B54" s="7"/>
    </row>
    <row r="57" spans="2:5" s="26" customFormat="1" ht="20.25" thickBot="1" x14ac:dyDescent="0.3">
      <c r="B57" s="26" t="s">
        <v>67</v>
      </c>
    </row>
    <row r="58" spans="2:5" ht="15.75" thickTop="1" x14ac:dyDescent="0.25"/>
    <row r="59" spans="2:5" s="27" customFormat="1" ht="18" thickBot="1" x14ac:dyDescent="0.3">
      <c r="B59" s="27" t="s">
        <v>77</v>
      </c>
    </row>
    <row r="60" spans="2:5" ht="15.75" thickTop="1" x14ac:dyDescent="0.25"/>
    <row r="61" spans="2:5" x14ac:dyDescent="0.25">
      <c r="B61" s="7" t="s">
        <v>73</v>
      </c>
      <c r="C61" s="8"/>
    </row>
    <row r="62" spans="2:5" x14ac:dyDescent="0.25">
      <c r="B62" s="8" t="s">
        <v>17</v>
      </c>
      <c r="C62" s="28">
        <v>200000000000</v>
      </c>
      <c r="D62" s="10" t="s">
        <v>18</v>
      </c>
    </row>
    <row r="63" spans="2:5" x14ac:dyDescent="0.25">
      <c r="B63" s="8" t="s">
        <v>19</v>
      </c>
      <c r="C63" s="9">
        <v>0.35</v>
      </c>
      <c r="D63" s="10" t="s">
        <v>1</v>
      </c>
      <c r="E63" s="5" t="s">
        <v>79</v>
      </c>
    </row>
    <row r="64" spans="2:5" x14ac:dyDescent="0.25">
      <c r="B64" s="8" t="s">
        <v>20</v>
      </c>
      <c r="C64" s="9">
        <v>0.01</v>
      </c>
      <c r="D64" s="10" t="s">
        <v>1</v>
      </c>
      <c r="E64" s="5" t="s">
        <v>75</v>
      </c>
    </row>
    <row r="65" spans="2:8" x14ac:dyDescent="0.25">
      <c r="B65" s="8" t="s">
        <v>21</v>
      </c>
      <c r="C65" s="29">
        <f>PI()/4*(C64/2)^4</f>
        <v>4.9087385212340517E-10</v>
      </c>
      <c r="D65" s="10" t="s">
        <v>22</v>
      </c>
    </row>
    <row r="66" spans="2:8" x14ac:dyDescent="0.25">
      <c r="B66" s="8" t="s">
        <v>55</v>
      </c>
      <c r="C66" s="29">
        <f>PI()/4*C64^2</f>
        <v>7.8539816339744827E-5</v>
      </c>
      <c r="D66" s="10" t="s">
        <v>56</v>
      </c>
    </row>
    <row r="67" spans="2:8" x14ac:dyDescent="0.25">
      <c r="C67" s="22"/>
    </row>
    <row r="68" spans="2:8" x14ac:dyDescent="0.25">
      <c r="B68" s="8" t="s">
        <v>83</v>
      </c>
      <c r="C68" s="8"/>
    </row>
    <row r="69" spans="2:8" x14ac:dyDescent="0.25">
      <c r="B69" s="8" t="s">
        <v>74</v>
      </c>
      <c r="C69" s="11">
        <v>2</v>
      </c>
      <c r="D69" s="12" t="s">
        <v>6</v>
      </c>
    </row>
    <row r="70" spans="2:8" x14ac:dyDescent="0.25">
      <c r="B70" s="8" t="s">
        <v>76</v>
      </c>
      <c r="C70" s="21">
        <f>C69*PI()^2*C62*C65/C63^2</f>
        <v>15819.528918520316</v>
      </c>
      <c r="D70" s="10" t="s">
        <v>3</v>
      </c>
      <c r="H70" s="23"/>
    </row>
    <row r="71" spans="2:8" x14ac:dyDescent="0.25">
      <c r="B71" s="8" t="s">
        <v>80</v>
      </c>
      <c r="C71" s="21">
        <f>P103</f>
        <v>21083</v>
      </c>
      <c r="D71" s="10" t="s">
        <v>3</v>
      </c>
    </row>
    <row r="72" spans="2:8" x14ac:dyDescent="0.25">
      <c r="B72" s="8" t="s">
        <v>89</v>
      </c>
      <c r="C72" s="21">
        <f>C43</f>
        <v>2</v>
      </c>
      <c r="D72" s="10"/>
    </row>
    <row r="73" spans="2:8" x14ac:dyDescent="0.25">
      <c r="B73" s="8" t="s">
        <v>113</v>
      </c>
      <c r="C73" s="44">
        <f>MIN(C70:C71)/(C18*C72)-1</f>
        <v>5.544135762574065E-4</v>
      </c>
      <c r="D73" s="10"/>
    </row>
    <row r="75" spans="2:8" s="27" customFormat="1" ht="18" thickBot="1" x14ac:dyDescent="0.3">
      <c r="B75" s="27" t="s">
        <v>78</v>
      </c>
    </row>
    <row r="76" spans="2:8" ht="15.75" thickTop="1" x14ac:dyDescent="0.25">
      <c r="D76" s="24"/>
    </row>
    <row r="77" spans="2:8" x14ac:dyDescent="0.25">
      <c r="B77" s="5" t="s">
        <v>63</v>
      </c>
    </row>
    <row r="78" spans="2:8" x14ac:dyDescent="0.25">
      <c r="B78" s="5" t="s">
        <v>64</v>
      </c>
    </row>
    <row r="79" spans="2:8" x14ac:dyDescent="0.25">
      <c r="B79" s="5" t="s">
        <v>65</v>
      </c>
    </row>
    <row r="80" spans="2:8" x14ac:dyDescent="0.25">
      <c r="B80" s="5" t="s">
        <v>68</v>
      </c>
    </row>
    <row r="90" spans="2:2" x14ac:dyDescent="0.25">
      <c r="B90" s="5" t="s">
        <v>66</v>
      </c>
    </row>
    <row r="101" spans="2:16" x14ac:dyDescent="0.25">
      <c r="B101" s="5" t="s">
        <v>71</v>
      </c>
    </row>
    <row r="102" spans="2:16" x14ac:dyDescent="0.25">
      <c r="O102" s="30" t="s">
        <v>69</v>
      </c>
      <c r="P102" s="30" t="s">
        <v>70</v>
      </c>
    </row>
    <row r="103" spans="2:16" x14ac:dyDescent="0.25">
      <c r="O103" s="33">
        <v>1</v>
      </c>
      <c r="P103" s="34">
        <v>21083</v>
      </c>
    </row>
    <row r="104" spans="2:16" x14ac:dyDescent="0.25">
      <c r="O104" s="31">
        <v>2</v>
      </c>
      <c r="P104" s="32">
        <v>21155</v>
      </c>
    </row>
    <row r="105" spans="2:16" x14ac:dyDescent="0.25">
      <c r="O105" s="31">
        <v>3</v>
      </c>
      <c r="P105" s="32">
        <v>58567</v>
      </c>
    </row>
    <row r="106" spans="2:16" x14ac:dyDescent="0.25">
      <c r="O106" s="31">
        <v>4</v>
      </c>
      <c r="P106" s="32">
        <v>58790</v>
      </c>
    </row>
    <row r="107" spans="2:16" x14ac:dyDescent="0.25">
      <c r="O107" s="31">
        <v>5</v>
      </c>
      <c r="P107" s="32">
        <v>120240</v>
      </c>
    </row>
    <row r="108" spans="2:16" x14ac:dyDescent="0.25">
      <c r="O108" s="31">
        <v>6</v>
      </c>
      <c r="P108" s="32">
        <v>120680</v>
      </c>
    </row>
    <row r="109" spans="2:16" x14ac:dyDescent="0.25">
      <c r="O109" s="31">
        <v>7</v>
      </c>
      <c r="P109" s="32">
        <v>194220</v>
      </c>
    </row>
    <row r="110" spans="2:16" x14ac:dyDescent="0.25">
      <c r="O110" s="31">
        <v>8</v>
      </c>
      <c r="P110" s="32">
        <v>194990</v>
      </c>
    </row>
    <row r="111" spans="2:16" x14ac:dyDescent="0.25">
      <c r="O111" s="31">
        <v>9</v>
      </c>
      <c r="P111" s="32">
        <v>294540</v>
      </c>
    </row>
    <row r="112" spans="2:16" x14ac:dyDescent="0.25">
      <c r="O112" s="31">
        <v>10</v>
      </c>
      <c r="P112" s="32">
        <v>295650</v>
      </c>
    </row>
    <row r="122" spans="2:17" s="26" customFormat="1" ht="20.25" thickBot="1" x14ac:dyDescent="0.3">
      <c r="B122" s="26" t="s">
        <v>90</v>
      </c>
    </row>
    <row r="123" spans="2:17" ht="15.75" thickTop="1" x14ac:dyDescent="0.25"/>
    <row r="124" spans="2:17" x14ac:dyDescent="0.25">
      <c r="B124" s="5" t="s">
        <v>116</v>
      </c>
    </row>
    <row r="125" spans="2:17" x14ac:dyDescent="0.25">
      <c r="K125" s="38" t="s">
        <v>117</v>
      </c>
      <c r="Q125" s="38"/>
    </row>
    <row r="126" spans="2:17" x14ac:dyDescent="0.25">
      <c r="K126" s="39" t="s">
        <v>118</v>
      </c>
      <c r="Q126" s="38"/>
    </row>
    <row r="127" spans="2:17" x14ac:dyDescent="0.25">
      <c r="K127" s="38" t="s">
        <v>119</v>
      </c>
      <c r="Q127" s="38"/>
    </row>
    <row r="128" spans="2:17" x14ac:dyDescent="0.25">
      <c r="K128" s="38" t="s">
        <v>120</v>
      </c>
      <c r="Q128" s="38"/>
    </row>
    <row r="129" spans="4:18" x14ac:dyDescent="0.25">
      <c r="K129" s="41" t="s">
        <v>121</v>
      </c>
      <c r="Q129" s="38"/>
    </row>
    <row r="130" spans="4:18" x14ac:dyDescent="0.25">
      <c r="Q130" s="38"/>
    </row>
    <row r="132" spans="4:18" x14ac:dyDescent="0.25">
      <c r="K132" s="40" t="s">
        <v>31</v>
      </c>
      <c r="L132" s="5">
        <v>241316505.15000001</v>
      </c>
      <c r="M132" s="5" t="s">
        <v>18</v>
      </c>
    </row>
    <row r="133" spans="4:18" x14ac:dyDescent="0.25">
      <c r="K133" s="5" t="s">
        <v>30</v>
      </c>
      <c r="L133" s="5">
        <v>289579806.18000001</v>
      </c>
      <c r="M133" s="5" t="s">
        <v>18</v>
      </c>
    </row>
    <row r="134" spans="4:18" x14ac:dyDescent="0.25">
      <c r="K134" s="5" t="s">
        <v>98</v>
      </c>
      <c r="L134" s="5">
        <v>344737864.5</v>
      </c>
      <c r="M134" s="5" t="s">
        <v>18</v>
      </c>
    </row>
    <row r="135" spans="4:18" x14ac:dyDescent="0.25">
      <c r="K135" s="5" t="s">
        <v>99</v>
      </c>
      <c r="L135" s="5">
        <v>461948738.43000001</v>
      </c>
      <c r="M135" s="5" t="s">
        <v>18</v>
      </c>
    </row>
    <row r="136" spans="4:18" x14ac:dyDescent="0.25">
      <c r="K136" s="5" t="s">
        <v>100</v>
      </c>
      <c r="L136" s="5">
        <v>0.08</v>
      </c>
      <c r="M136" s="5" t="s">
        <v>106</v>
      </c>
    </row>
    <row r="137" spans="4:18" x14ac:dyDescent="0.25">
      <c r="D137" s="37"/>
    </row>
    <row r="138" spans="4:18" x14ac:dyDescent="0.25">
      <c r="K138" s="5" t="s">
        <v>108</v>
      </c>
      <c r="L138" s="5">
        <v>1.6</v>
      </c>
      <c r="M138" s="18" t="s">
        <v>6</v>
      </c>
    </row>
    <row r="139" spans="4:18" x14ac:dyDescent="0.25">
      <c r="K139" s="5" t="s">
        <v>109</v>
      </c>
      <c r="L139" s="5">
        <v>2</v>
      </c>
      <c r="M139" s="18" t="s">
        <v>6</v>
      </c>
    </row>
    <row r="140" spans="4:18" x14ac:dyDescent="0.25">
      <c r="K140" s="37" t="s">
        <v>107</v>
      </c>
      <c r="L140" s="37">
        <v>140000000</v>
      </c>
      <c r="M140" s="5" t="s">
        <v>18</v>
      </c>
    </row>
    <row r="141" spans="4:18" x14ac:dyDescent="0.25">
      <c r="K141" s="5" t="s">
        <v>110</v>
      </c>
      <c r="L141" s="25">
        <f>L132/L140/L138-1</f>
        <v>7.7305826562499957E-2</v>
      </c>
      <c r="M141" s="18" t="s">
        <v>6</v>
      </c>
      <c r="R141" s="25"/>
    </row>
    <row r="142" spans="4:18" x14ac:dyDescent="0.25">
      <c r="K142" s="5" t="s">
        <v>111</v>
      </c>
      <c r="L142" s="25">
        <f>L133/L140/L139-1</f>
        <v>3.4213593500000083E-2</v>
      </c>
      <c r="M142" s="18" t="s">
        <v>6</v>
      </c>
      <c r="R142" s="25"/>
    </row>
    <row r="150" spans="2:18" x14ac:dyDescent="0.25">
      <c r="D150" s="37"/>
    </row>
    <row r="151" spans="2:18" x14ac:dyDescent="0.25">
      <c r="R151" s="37"/>
    </row>
    <row r="154" spans="2:18" x14ac:dyDescent="0.25">
      <c r="R154" s="25"/>
    </row>
    <row r="155" spans="2:18" x14ac:dyDescent="0.25">
      <c r="R155" s="25"/>
    </row>
    <row r="156" spans="2:18" x14ac:dyDescent="0.25">
      <c r="B156" s="42" t="s">
        <v>63</v>
      </c>
    </row>
    <row r="157" spans="2:18" x14ac:dyDescent="0.25">
      <c r="B157" s="5" t="s">
        <v>114</v>
      </c>
    </row>
    <row r="158" spans="2:18" x14ac:dyDescent="0.25">
      <c r="B158" s="5" t="s">
        <v>115</v>
      </c>
    </row>
    <row r="159" spans="2:18" x14ac:dyDescent="0.25">
      <c r="B159" s="43" t="s">
        <v>112</v>
      </c>
    </row>
    <row r="162" spans="7:7" x14ac:dyDescent="0.25">
      <c r="G162" s="18"/>
    </row>
  </sheetData>
  <mergeCells count="4">
    <mergeCell ref="C16:D16"/>
    <mergeCell ref="C17:D17"/>
    <mergeCell ref="B18:B20"/>
    <mergeCell ref="C45:E45"/>
  </mergeCells>
  <conditionalFormatting sqref="H41 C47:E54 L141:L142">
    <cfRule type="cellIs" dxfId="1" priority="3" operator="lessThan">
      <formula>0</formula>
    </cfRule>
    <cfRule type="cellIs" dxfId="0" priority="4" operator="greaterThan">
      <formula>0</formula>
    </cfRule>
  </conditionalFormatting>
  <hyperlinks>
    <hyperlink ref="I3" r:id="rId1" xr:uid="{0626124E-510E-4ABA-9829-4837F5E0E5D1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FB6BF-7DF0-4811-ACB8-80A3E494E2B2}">
  <dimension ref="A1"/>
  <sheetViews>
    <sheetView workbookViewId="0">
      <selection activeCell="T13" sqref="T1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D8DBE-B59E-45E0-ACC4-81B1459A9643}">
  <dimension ref="A1"/>
  <sheetViews>
    <sheetView zoomScale="103" zoomScaleNormal="103" workbookViewId="0">
      <selection activeCell="Y10" sqref="Y1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3978D-40B5-4D78-9753-2C887EB4B58C}">
  <dimension ref="A1"/>
  <sheetViews>
    <sheetView showGridLines="0" zoomScaleNormal="100" workbookViewId="0">
      <selection activeCell="L46" sqref="L4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957DA-D15C-4636-962D-6FC55143B58A}">
  <dimension ref="A1"/>
  <sheetViews>
    <sheetView workbookViewId="0">
      <selection activeCell="E20" sqref="E2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FC179-AEBC-419A-A9C1-E76B3469F9BC}">
  <dimension ref="A1:S148"/>
  <sheetViews>
    <sheetView topLeftCell="A18" zoomScale="101" zoomScaleNormal="101" workbookViewId="0">
      <selection activeCell="N40" sqref="N40"/>
    </sheetView>
  </sheetViews>
  <sheetFormatPr defaultRowHeight="15" x14ac:dyDescent="0.25"/>
  <cols>
    <col min="16" max="16" width="10" bestFit="1" customWidth="1"/>
  </cols>
  <sheetData>
    <row r="1" spans="1:1" s="47" customFormat="1" ht="20.25" thickBot="1" x14ac:dyDescent="0.35">
      <c r="A1" s="47" t="s">
        <v>140</v>
      </c>
    </row>
    <row r="2" spans="1:1" ht="15.75" thickTop="1" x14ac:dyDescent="0.25"/>
    <row r="21" spans="14:19" x14ac:dyDescent="0.25">
      <c r="O21" t="s">
        <v>101</v>
      </c>
      <c r="P21" t="s">
        <v>18</v>
      </c>
    </row>
    <row r="22" spans="14:19" x14ac:dyDescent="0.25">
      <c r="N22" t="s">
        <v>31</v>
      </c>
      <c r="O22">
        <v>35</v>
      </c>
      <c r="P22" s="3">
        <f>O22*$P$32</f>
        <v>241316505.15000001</v>
      </c>
      <c r="S22" s="3"/>
    </row>
    <row r="23" spans="14:19" x14ac:dyDescent="0.25">
      <c r="N23" t="s">
        <v>30</v>
      </c>
      <c r="O23">
        <v>42</v>
      </c>
      <c r="P23" s="3">
        <f>O23*$P$32</f>
        <v>289579806.18000001</v>
      </c>
      <c r="S23" s="3"/>
    </row>
    <row r="24" spans="14:19" x14ac:dyDescent="0.25">
      <c r="N24" t="s">
        <v>98</v>
      </c>
      <c r="O24">
        <v>50</v>
      </c>
      <c r="P24" s="3">
        <f>O24*$P$32</f>
        <v>344737864.5</v>
      </c>
    </row>
    <row r="25" spans="14:19" x14ac:dyDescent="0.25">
      <c r="N25" t="s">
        <v>99</v>
      </c>
      <c r="O25">
        <v>67</v>
      </c>
      <c r="P25" s="3">
        <f>O25*$P$32</f>
        <v>461948738.43000001</v>
      </c>
    </row>
    <row r="26" spans="14:19" x14ac:dyDescent="0.25">
      <c r="N26" t="s">
        <v>100</v>
      </c>
      <c r="O26">
        <v>0.08</v>
      </c>
      <c r="S26" s="4"/>
    </row>
    <row r="27" spans="14:19" x14ac:dyDescent="0.25">
      <c r="N27" t="s">
        <v>17</v>
      </c>
      <c r="O27" s="2">
        <v>10000</v>
      </c>
      <c r="P27" s="3">
        <f>O27*$P$32</f>
        <v>68947572900</v>
      </c>
    </row>
    <row r="28" spans="14:19" x14ac:dyDescent="0.25">
      <c r="N28" t="s">
        <v>103</v>
      </c>
      <c r="O28">
        <v>0.33</v>
      </c>
      <c r="P28" s="3"/>
    </row>
    <row r="32" spans="14:19" x14ac:dyDescent="0.25">
      <c r="O32" t="s">
        <v>102</v>
      </c>
      <c r="P32">
        <v>6894757.29</v>
      </c>
    </row>
    <row r="34" spans="1:19" x14ac:dyDescent="0.25">
      <c r="P34" s="3">
        <f>P22/1.6</f>
        <v>150822815.71875</v>
      </c>
    </row>
    <row r="43" spans="1:19" s="47" customFormat="1" ht="20.25" thickBot="1" x14ac:dyDescent="0.35">
      <c r="A43" s="47" t="s">
        <v>142</v>
      </c>
    </row>
    <row r="44" spans="1:19" ht="15.75" thickTop="1" x14ac:dyDescent="0.25"/>
    <row r="46" spans="1:19" x14ac:dyDescent="0.25">
      <c r="N46" t="s">
        <v>101</v>
      </c>
      <c r="O46" t="s">
        <v>18</v>
      </c>
    </row>
    <row r="47" spans="1:19" x14ac:dyDescent="0.25">
      <c r="M47" t="s">
        <v>31</v>
      </c>
      <c r="N47">
        <v>69</v>
      </c>
      <c r="O47" s="3">
        <f>N47*$P$32</f>
        <v>475738253.00999999</v>
      </c>
      <c r="R47" t="s">
        <v>143</v>
      </c>
      <c r="S47">
        <f>19.05*SQRT($O$22/N47)</f>
        <v>13.567644536207069</v>
      </c>
    </row>
    <row r="48" spans="1:19" x14ac:dyDescent="0.25">
      <c r="M48" t="s">
        <v>30</v>
      </c>
      <c r="N48">
        <v>77</v>
      </c>
      <c r="O48" s="3">
        <f>N48*$P$32</f>
        <v>530896311.32999998</v>
      </c>
    </row>
    <row r="49" spans="13:15" x14ac:dyDescent="0.25">
      <c r="M49" t="s">
        <v>98</v>
      </c>
      <c r="N49">
        <v>118</v>
      </c>
      <c r="O49" s="3">
        <f>N49*$P$32</f>
        <v>813581360.22000003</v>
      </c>
    </row>
    <row r="50" spans="13:15" x14ac:dyDescent="0.25">
      <c r="M50" t="s">
        <v>99</v>
      </c>
      <c r="N50">
        <v>157</v>
      </c>
      <c r="O50" s="3">
        <f>N50*$P$32</f>
        <v>1082476894.53</v>
      </c>
    </row>
    <row r="51" spans="13:15" x14ac:dyDescent="0.25">
      <c r="M51" t="s">
        <v>100</v>
      </c>
      <c r="N51">
        <v>0.09</v>
      </c>
    </row>
    <row r="52" spans="13:15" x14ac:dyDescent="0.25">
      <c r="M52" t="s">
        <v>17</v>
      </c>
      <c r="N52" s="2">
        <v>10400</v>
      </c>
      <c r="O52" s="3">
        <f>N52*$P$32</f>
        <v>71705475816</v>
      </c>
    </row>
    <row r="53" spans="13:15" x14ac:dyDescent="0.25">
      <c r="M53" t="s">
        <v>103</v>
      </c>
      <c r="N53">
        <v>0.33</v>
      </c>
      <c r="O53" s="3"/>
    </row>
    <row r="59" spans="13:15" x14ac:dyDescent="0.25">
      <c r="O59" s="3"/>
    </row>
    <row r="86" spans="1:19" s="47" customFormat="1" ht="20.25" thickBot="1" x14ac:dyDescent="0.35">
      <c r="A86" s="47" t="s">
        <v>141</v>
      </c>
    </row>
    <row r="87" spans="1:19" ht="15.75" thickTop="1" x14ac:dyDescent="0.25"/>
    <row r="88" spans="1:19" x14ac:dyDescent="0.25">
      <c r="A88" s="1" t="s">
        <v>139</v>
      </c>
    </row>
    <row r="90" spans="1:19" x14ac:dyDescent="0.25">
      <c r="N90" t="s">
        <v>101</v>
      </c>
      <c r="O90" t="s">
        <v>18</v>
      </c>
    </row>
    <row r="91" spans="1:19" x14ac:dyDescent="0.25">
      <c r="M91" t="s">
        <v>31</v>
      </c>
      <c r="N91">
        <v>35</v>
      </c>
      <c r="O91" s="3">
        <f>N91*$P$32</f>
        <v>241316505.15000001</v>
      </c>
      <c r="R91" t="s">
        <v>143</v>
      </c>
      <c r="S91">
        <f>19.05*SQRT($O$22/N91)</f>
        <v>19.05</v>
      </c>
    </row>
    <row r="92" spans="1:19" x14ac:dyDescent="0.25">
      <c r="M92" t="s">
        <v>30</v>
      </c>
      <c r="N92">
        <v>85</v>
      </c>
      <c r="O92" s="3">
        <f>N92*$P$32</f>
        <v>586054369.64999998</v>
      </c>
    </row>
    <row r="93" spans="1:19" x14ac:dyDescent="0.25">
      <c r="M93" t="s">
        <v>98</v>
      </c>
      <c r="N93">
        <v>0</v>
      </c>
      <c r="O93" s="3">
        <f>N93*$P$32</f>
        <v>0</v>
      </c>
    </row>
    <row r="94" spans="1:19" x14ac:dyDescent="0.25">
      <c r="M94" t="s">
        <v>99</v>
      </c>
      <c r="N94">
        <v>0</v>
      </c>
      <c r="O94" s="3">
        <f>N94*$P$32</f>
        <v>0</v>
      </c>
    </row>
    <row r="95" spans="1:19" x14ac:dyDescent="0.25">
      <c r="M95" t="s">
        <v>100</v>
      </c>
      <c r="N95">
        <v>0.5</v>
      </c>
    </row>
    <row r="96" spans="1:19" x14ac:dyDescent="0.25">
      <c r="M96" t="s">
        <v>17</v>
      </c>
      <c r="N96" s="2">
        <v>29000</v>
      </c>
      <c r="O96" s="3">
        <f>N96*$P$32</f>
        <v>199947961410</v>
      </c>
    </row>
    <row r="97" spans="13:15" x14ac:dyDescent="0.25">
      <c r="M97" t="s">
        <v>103</v>
      </c>
      <c r="N97">
        <v>0.28999999999999998</v>
      </c>
      <c r="O97" s="3">
        <f>N97*$P$32</f>
        <v>1999479.6140999999</v>
      </c>
    </row>
    <row r="103" spans="13:15" x14ac:dyDescent="0.25">
      <c r="O103" s="3">
        <f>O91/1.6</f>
        <v>150822815.71875</v>
      </c>
    </row>
    <row r="127" spans="1:1" s="47" customFormat="1" ht="20.25" thickBot="1" x14ac:dyDescent="0.35">
      <c r="A127" s="47" t="s">
        <v>144</v>
      </c>
    </row>
    <row r="128" spans="1:1" ht="15.75" thickTop="1" x14ac:dyDescent="0.25"/>
    <row r="135" spans="13:19" x14ac:dyDescent="0.25">
      <c r="N135" t="s">
        <v>101</v>
      </c>
      <c r="O135" t="s">
        <v>18</v>
      </c>
    </row>
    <row r="136" spans="13:19" x14ac:dyDescent="0.25">
      <c r="M136" t="s">
        <v>31</v>
      </c>
      <c r="N136">
        <v>75</v>
      </c>
      <c r="O136" s="3">
        <f>N136*$P$32</f>
        <v>517106796.75</v>
      </c>
      <c r="R136" t="s">
        <v>143</v>
      </c>
      <c r="S136">
        <f>19.05*SQRT($O$22/N136)</f>
        <v>13.01362747276869</v>
      </c>
    </row>
    <row r="137" spans="13:19" x14ac:dyDescent="0.25">
      <c r="M137" t="s">
        <v>30</v>
      </c>
      <c r="N137">
        <v>100</v>
      </c>
      <c r="O137" s="3">
        <f>N137*$P$32</f>
        <v>689475729</v>
      </c>
    </row>
    <row r="138" spans="13:19" x14ac:dyDescent="0.25">
      <c r="M138" t="s">
        <v>98</v>
      </c>
      <c r="N138">
        <v>0</v>
      </c>
      <c r="O138" s="3">
        <f>N138*$P$32</f>
        <v>0</v>
      </c>
    </row>
    <row r="139" spans="13:19" x14ac:dyDescent="0.25">
      <c r="M139" t="s">
        <v>99</v>
      </c>
      <c r="N139">
        <v>0</v>
      </c>
      <c r="O139" s="3">
        <f>N139*$P$32</f>
        <v>0</v>
      </c>
    </row>
    <row r="140" spans="13:19" x14ac:dyDescent="0.25">
      <c r="M140" t="s">
        <v>100</v>
      </c>
      <c r="N140">
        <v>0.1</v>
      </c>
    </row>
    <row r="141" spans="13:19" x14ac:dyDescent="0.25">
      <c r="M141" t="s">
        <v>17</v>
      </c>
      <c r="N141" s="2">
        <v>29000</v>
      </c>
      <c r="O141" s="3">
        <f>N141*$P$32</f>
        <v>199947961410</v>
      </c>
    </row>
    <row r="142" spans="13:19" x14ac:dyDescent="0.25">
      <c r="M142" t="s">
        <v>103</v>
      </c>
      <c r="N142">
        <v>0.28999999999999998</v>
      </c>
      <c r="O142" s="3">
        <f>N142*$P$32</f>
        <v>1999479.6140999999</v>
      </c>
    </row>
    <row r="146" spans="14:15" x14ac:dyDescent="0.25">
      <c r="N146" t="s">
        <v>102</v>
      </c>
      <c r="O146">
        <v>6894757.29</v>
      </c>
    </row>
    <row r="148" spans="14:15" x14ac:dyDescent="0.25">
      <c r="O148" s="3">
        <f>O136/1.6</f>
        <v>323191747.96875</v>
      </c>
    </row>
  </sheetData>
  <hyperlinks>
    <hyperlink ref="A88" r:id="rId1" location="details" xr:uid="{5ADE9F8F-48BA-4576-BA05-CCEFE46BEFEC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BOM</vt:lpstr>
      <vt:lpstr>CALCS</vt:lpstr>
      <vt:lpstr>NEMA17</vt:lpstr>
      <vt:lpstr>SFU1204+Hardware</vt:lpstr>
      <vt:lpstr>Load cell</vt:lpstr>
      <vt:lpstr>Limit switches</vt:lpstr>
      <vt:lpstr>matprop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Tomek Poryzala</dc:creator>
  <cp:lastModifiedBy>Tomek Poryzala</cp:lastModifiedBy>
  <dcterms:created xsi:type="dcterms:W3CDTF">2025-11-22T05:46:50Z</dcterms:created>
  <dcterms:modified xsi:type="dcterms:W3CDTF">2026-01-15T06:42:53Z</dcterms:modified>
</cp:coreProperties>
</file>