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3A984EBB-A7BF-4C27-9B04-055E97EA1200}" xr6:coauthVersionLast="47" xr6:coauthVersionMax="47" xr10:uidLastSave="{00000000-0000-0000-0000-000000000000}"/>
  <bookViews>
    <workbookView xWindow="28680" yWindow="-135" windowWidth="29040" windowHeight="17640" activeTab="1" xr2:uid="{81EA39CF-4060-4AAC-868F-B95EAB252377}"/>
  </bookViews>
  <sheets>
    <sheet name="BOM" sheetId="2" r:id="rId1"/>
    <sheet name="Boards" sheetId="9" r:id="rId2"/>
    <sheet name="CALCS" sheetId="1" r:id="rId3"/>
    <sheet name="NEMA17" sheetId="6" r:id="rId4"/>
    <sheet name="SFU1204+Hardware" sheetId="3" r:id="rId5"/>
    <sheet name="Load cell" sheetId="4" r:id="rId6"/>
    <sheet name="Limit switches" sheetId="7" r:id="rId7"/>
    <sheet name="matprop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9" l="1"/>
  <c r="O32" i="9"/>
  <c r="O31" i="9"/>
  <c r="I30" i="9"/>
  <c r="C27" i="9"/>
  <c r="C26" i="9"/>
  <c r="F27" i="2"/>
  <c r="F26" i="2"/>
  <c r="F25" i="2"/>
  <c r="F24" i="2"/>
  <c r="F23" i="2"/>
  <c r="F22" i="2"/>
  <c r="F21" i="2"/>
  <c r="F20" i="2"/>
  <c r="F19" i="2"/>
  <c r="F18" i="2"/>
  <c r="F17" i="2"/>
  <c r="F16" i="2"/>
  <c r="O52" i="8"/>
  <c r="O50" i="8"/>
  <c r="O49" i="8"/>
  <c r="O48" i="8"/>
  <c r="O47" i="8"/>
  <c r="O142" i="8"/>
  <c r="O141" i="8"/>
  <c r="O139" i="8"/>
  <c r="O138" i="8"/>
  <c r="O137" i="8"/>
  <c r="S136" i="8"/>
  <c r="O136" i="8"/>
  <c r="O148" i="8" s="1"/>
  <c r="S91" i="8"/>
  <c r="S47" i="8"/>
  <c r="O97" i="8"/>
  <c r="O96" i="8"/>
  <c r="O94" i="8"/>
  <c r="O93" i="8"/>
  <c r="O92" i="8"/>
  <c r="O91" i="8"/>
  <c r="O103" i="8" s="1"/>
  <c r="F15" i="2"/>
  <c r="F14" i="2"/>
  <c r="F13" i="2"/>
  <c r="F12" i="2"/>
  <c r="C32" i="1"/>
  <c r="C31" i="1"/>
  <c r="F11" i="2"/>
  <c r="F10" i="2"/>
  <c r="F6" i="2"/>
  <c r="F7" i="2"/>
  <c r="F9" i="2"/>
  <c r="C72" i="1"/>
  <c r="L142" i="1" l="1"/>
  <c r="D48" i="1" s="1"/>
  <c r="L141" i="1"/>
  <c r="C48" i="1" s="1"/>
  <c r="P27" i="8" l="1"/>
  <c r="P23" i="8"/>
  <c r="P24" i="8"/>
  <c r="P25" i="8"/>
  <c r="P22" i="8"/>
  <c r="P34" i="8" s="1"/>
  <c r="C12" i="1" a="1"/>
  <c r="C12" i="1" s="1"/>
  <c r="C17" i="1" s="1"/>
  <c r="C71" i="1"/>
  <c r="C33" i="1"/>
  <c r="C6" i="1"/>
  <c r="C65" i="1"/>
  <c r="C70" i="1" s="1"/>
  <c r="F8" i="2"/>
  <c r="F5" i="2"/>
  <c r="F33" i="2" s="1"/>
  <c r="C23" i="1"/>
  <c r="C25" i="1" l="1"/>
  <c r="C34" i="1" s="1"/>
  <c r="C36" i="1" s="1"/>
  <c r="C18" i="1"/>
  <c r="C66" i="1"/>
  <c r="C13" i="1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<sst xmlns="http://schemas.openxmlformats.org/spreadsheetml/2006/main" count="267" uniqueCount="174">
  <si>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</si>
  <si>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</si>
  <si>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</si>
  <si>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</si>
  <si>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</si>
  <si>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</si>
  <si>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</si>
  <si>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</si>
  <si>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</si>
  <si>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</si>
  <si>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</si>
  <si>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</si>
  <si>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</si>
  <si>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</si>
  <si>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</si>
  <si>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</si>
  <si>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</si>
  <si>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</si>
  <si>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</si>
  <si>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</si>
  <si>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</si>
  <si>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</si>
  <si>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</si>
  <si>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</si>
  <si>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</si>
  <si>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</si>
  <si>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</si>
  <si>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</si>
  <si>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</si>
  <si>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</si>
  <si>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</si>
  <si>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</si>
  <si>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</si>
  <si>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</si>
  <si>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</si>
  <si>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</si>
  <si>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</si>
  <si>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</si>
  <si>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</si>
  <si>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</si>
  <si>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</si>
  <si>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</si>
  <si>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</si>
  <si>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</si>
  <si>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</si>
  <si>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</si>
  <si>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</si>
  <si>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</si>
  <si>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</si>
  <si>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</si>
  <si>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</si>
  <si>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</si>
  <si>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</si>
  <si>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</si>
  <si>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</si>
  <si>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</si>
  <si>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</si>
  <si>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</si>
  <si>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</si>
  <si>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</si>
  <si>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</si>
  <si>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</si>
  <si>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</si>
  <si>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</si>
  <si>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</si>
  <si>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</si>
  <si>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</si>
  <si>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</si>
  <si>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</si>
  <si>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</si>
  <si>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</si>
  <si>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</si>
  <si>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</si>
  <si>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</si>
  <si>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</si>
  <si>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</si>
  <si>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</si>
  <si>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</si>
  <si>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</si>
  <si>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</si>
  <si>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</si>
  <si>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</si>
  <si>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</si>
  <si>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</si>
  <si>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</si>
  <si>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</si>
  <si>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</si>
  <si>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</si>
  <si>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</si>
  <si>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</si>
  <si>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</si>
  <si>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</si>
  <si>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</si>
  <si>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</si>
  <si>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</si>
  <si>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</si>
  <si>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</si>
  <si>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</si>
  <si>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</si>
  <si>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</si>
  <si>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</si>
  <si>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</si>
  <si>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</si>
  <si>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</si>
  <si>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</si>
  <si>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</si>
  <si>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</si>
  <si>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</si>
  <si>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</si>
  <si>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</si>
  <si>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</si>
  <si>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</si>
  <si>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</si>
  <si>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</si>
  <si>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</si>
  <si>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</si>
  <si>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</si>
  <si>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</si>
  <si>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</si>
  <si>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</si>
  <si>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</si>
  <si>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</si>
  <si>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</si>
  <si>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</si>
  <si>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</si>
  <si>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</si>
  <si>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</si>
  <si>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</si>
  <si>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</si>
  <si>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</si>
  <si>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</si>
  <si>
    <t>https://www.amazon.com/HELIFOUNER-Pieces-2020-Aluminum-Profile/dp/B0B211BNMS</t>
  </si>
  <si>
    <t>M5 T-nuts (200pcs)</t>
  </si>
  <si>
    <t>Fastenal order</t>
  </si>
  <si>
    <t>https://www.fastenal.com</t>
  </si>
  <si>
    <t>Adjustable Levelling Feet (8pcs)</t>
  </si>
  <si>
    <t>https://www.amazon.com/uxcell-Adjustable-Levelling-Furniture-Protector/dp/B0DTYJ1GDD?crid=1O8Y1TVTSMHEQ</t>
  </si>
  <si>
    <t>M16 Stainless Steel Flat Washers (10pcs)</t>
  </si>
  <si>
    <t>https://www.amazon.com/MECCANIXITY-Stainless-Assortment-Automotive-Electrical/dp/B0F4DPSQV3</t>
  </si>
  <si>
    <t>https://sendcutsend.com/materials/stainless-steel/#details</t>
  </si>
  <si>
    <t>6061-T6</t>
  </si>
  <si>
    <t>304 SS</t>
  </si>
  <si>
    <t>7075-T6</t>
  </si>
  <si>
    <t>h2</t>
  </si>
  <si>
    <t>1095 high carbon steel</t>
  </si>
  <si>
    <t>https://www.amazon.com/Xnrtop-Coupling-Diameter-Aluminum-Connector/dp/B07YD45PY8</t>
  </si>
  <si>
    <t>8mm-8mm coupler</t>
  </si>
  <si>
    <t>Aluminum extrusion (all)</t>
  </si>
  <si>
    <t>https://8020.net/checkout/#shipping</t>
  </si>
  <si>
    <t>22MM Metal Emergency Stop</t>
  </si>
  <si>
    <t>https://www.amazon.com/dp/B09YRG7T8C</t>
  </si>
  <si>
    <t>https://www.amazon.com/dp/B00065VEP4</t>
  </si>
  <si>
    <t>Tap Magic 30004P ProTap Cutting Fluid</t>
  </si>
  <si>
    <t>3/16 in 20Ft 3:1 Waterproof Heat Shrink</t>
  </si>
  <si>
    <t>https://www.amazon.com/dp/B0919F4YFZ</t>
  </si>
  <si>
    <t>https://www.amazon.com/dp/B07X142VGC</t>
  </si>
  <si>
    <t>Micro Limit Switch KW12-3 (10pcs)</t>
  </si>
  <si>
    <t>19mm Momentary Push Button Switch</t>
  </si>
  <si>
    <t>https://www.amazon.com/dp/B09BKXXRD4</t>
  </si>
  <si>
    <t>Arduino UNO R3</t>
  </si>
  <si>
    <t>Raspberry Pi 3B</t>
  </si>
  <si>
    <t>HX711</t>
  </si>
  <si>
    <t>48V 2x6  Power Distribution Module</t>
  </si>
  <si>
    <t>https://www.amazon.com/dp/B09D3BV22M</t>
  </si>
  <si>
    <t>DC12V-24V to 5V 3A Micro USB Converter</t>
  </si>
  <si>
    <t>https://www.amazon.com/dp/B0B6NZBWV4</t>
  </si>
  <si>
    <t>Arduino Screw Terminal Block Breakout</t>
  </si>
  <si>
    <t>https://www.amazon.com/dp/B07HF2DD7T</t>
  </si>
  <si>
    <t>https://www.amazon.com/dp/B0CBJZNDN4</t>
  </si>
  <si>
    <t>Stainless Steel Flat Washers (900 Pcs)</t>
  </si>
  <si>
    <t>DC-DC Converter</t>
  </si>
  <si>
    <t>Power distribution</t>
  </si>
  <si>
    <t>https://www.amazon.com/dp/B07GZBXGR7</t>
  </si>
  <si>
    <t>GX16 6 Pins Panel Connector (5pcs)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</si>
</sst>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2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8" fillId="0" borderId="3" xfId="8"/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18.png"/><Relationship Id="rId3" Type="http://schemas.openxmlformats.org/officeDocument/2006/relationships/image" Target="../media/image8.png"/><Relationship Id="rId7" Type="http://schemas.openxmlformats.org/officeDocument/2006/relationships/image" Target="../media/image12.png"/><Relationship Id="rId12" Type="http://schemas.openxmlformats.org/officeDocument/2006/relationships/image" Target="../media/image17.png"/><Relationship Id="rId2" Type="http://schemas.openxmlformats.org/officeDocument/2006/relationships/image" Target="../media/image7.png"/><Relationship Id="rId16" Type="http://schemas.openxmlformats.org/officeDocument/2006/relationships/image" Target="../media/image21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11" Type="http://schemas.openxmlformats.org/officeDocument/2006/relationships/image" Target="../media/image16.png"/><Relationship Id="rId5" Type="http://schemas.openxmlformats.org/officeDocument/2006/relationships/image" Target="../media/image10.png"/><Relationship Id="rId15" Type="http://schemas.openxmlformats.org/officeDocument/2006/relationships/image" Target="../media/image20.png"/><Relationship Id="rId10" Type="http://schemas.openxmlformats.org/officeDocument/2006/relationships/image" Target="../media/image15.png"/><Relationship Id="rId4" Type="http://schemas.openxmlformats.org/officeDocument/2006/relationships/image" Target="../media/image9.png"/><Relationship Id="rId9" Type="http://schemas.openxmlformats.org/officeDocument/2006/relationships/image" Target="../media/image14.png"/><Relationship Id="rId14" Type="http://schemas.openxmlformats.org/officeDocument/2006/relationships/image" Target="../media/image19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jpeg"/><Relationship Id="rId2" Type="http://schemas.openxmlformats.org/officeDocument/2006/relationships/image" Target="../media/image23.jpeg"/><Relationship Id="rId1" Type="http://schemas.openxmlformats.org/officeDocument/2006/relationships/image" Target="../media/image22.png"/><Relationship Id="rId4" Type="http://schemas.openxmlformats.org/officeDocument/2006/relationships/image" Target="../media/image2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8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5" Type="http://schemas.openxmlformats.org/officeDocument/2006/relationships/image" Target="../media/image30.png"/><Relationship Id="rId4" Type="http://schemas.openxmlformats.org/officeDocument/2006/relationships/image" Target="../media/image2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5" Type="http://schemas.openxmlformats.org/officeDocument/2006/relationships/image" Target="../media/image35.png"/><Relationship Id="rId4" Type="http://schemas.openxmlformats.org/officeDocument/2006/relationships/image" Target="../media/image3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8.jpeg"/><Relationship Id="rId1" Type="http://schemas.openxmlformats.org/officeDocument/2006/relationships/image" Target="../media/image3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41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Relationship Id="rId6" Type="http://schemas.openxmlformats.org/officeDocument/2006/relationships/image" Target="../media/image44.png"/><Relationship Id="rId5" Type="http://schemas.openxmlformats.org/officeDocument/2006/relationships/image" Target="../media/image43.png"/><Relationship Id="rId4" Type="http://schemas.openxmlformats.org/officeDocument/2006/relationships/image" Target="../media/image4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2</xdr:row>
      <xdr:rowOff>123825</xdr:rowOff>
    </xdr:from>
    <xdr:to>
      <xdr:col>9</xdr:col>
      <xdr:colOff>247650</xdr:colOff>
      <xdr:row>22</xdr:row>
      <xdr:rowOff>133350</xdr:rowOff>
    </xdr:to>
    <xdr:pic>
      <xdr:nvPicPr>
        <xdr:cNvPr id="2" name="Picture 1" descr="mechanical engineering - Why are mounting hole locations for many Arduino  and Nucleo boards so strange? - Engineering Stack Exchange">
          <a:extLst>
            <a:ext uri="{FF2B5EF4-FFF2-40B4-BE49-F238E27FC236}">
              <a16:creationId xmlns:a16="http://schemas.microsoft.com/office/drawing/2014/main" id="{E8BB7002-028B-D062-0EE3-5BB81D47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8625" y="581025"/>
          <a:ext cx="5305425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28575</xdr:colOff>
      <xdr:row>1</xdr:row>
      <xdr:rowOff>180975</xdr:rowOff>
    </xdr:from>
    <xdr:to>
      <xdr:col>23</xdr:col>
      <xdr:colOff>552450</xdr:colOff>
      <xdr:row>28</xdr:row>
      <xdr:rowOff>19050</xdr:rowOff>
    </xdr:to>
    <xdr:pic>
      <xdr:nvPicPr>
        <xdr:cNvPr id="3" name="Picture 2" descr="Mounting Holes | Introducing the Raspberry Pi Model B+ | Adafruit Learning  System">
          <a:extLst>
            <a:ext uri="{FF2B5EF4-FFF2-40B4-BE49-F238E27FC236}">
              <a16:creationId xmlns:a16="http://schemas.microsoft.com/office/drawing/2014/main" id="{C1AAB678-7B38-024D-79C7-97B1915018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43775" y="438150"/>
          <a:ext cx="7229475" cy="4991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352426</xdr:colOff>
      <xdr:row>36</xdr:row>
      <xdr:rowOff>38100</xdr:rowOff>
    </xdr:from>
    <xdr:to>
      <xdr:col>11</xdr:col>
      <xdr:colOff>28576</xdr:colOff>
      <xdr:row>60</xdr:row>
      <xdr:rowOff>71087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ED93B5B-0928-7461-895A-CBF6413BE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2026" y="7048500"/>
          <a:ext cx="5772150" cy="4604987"/>
        </a:xfrm>
        <a:prstGeom prst="rect">
          <a:avLst/>
        </a:prstGeom>
      </xdr:spPr>
    </xdr:pic>
    <xdr:clientData/>
  </xdr:twoCellAnchor>
  <xdr:twoCellAnchor editAs="oneCell">
    <xdr:from>
      <xdr:col>13</xdr:col>
      <xdr:colOff>9526</xdr:colOff>
      <xdr:row>35</xdr:row>
      <xdr:rowOff>104775</xdr:rowOff>
    </xdr:from>
    <xdr:to>
      <xdr:col>21</xdr:col>
      <xdr:colOff>409576</xdr:colOff>
      <xdr:row>59</xdr:row>
      <xdr:rowOff>189275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911BEBF-8498-5C45-EE8F-96B0441D4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934326" y="6915150"/>
          <a:ext cx="5276850" cy="46660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67</xdr:row>
      <xdr:rowOff>0</xdr:rowOff>
    </xdr:from>
    <xdr:to>
      <xdr:col>18</xdr:col>
      <xdr:colOff>153868</xdr:colOff>
      <xdr:row>107</xdr:row>
      <xdr:rowOff>115380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74F9CF-3EBB-1708-2CE3-A7283C711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12992100"/>
          <a:ext cx="10517068" cy="773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182</xdr:row>
      <xdr:rowOff>0</xdr:rowOff>
    </xdr:from>
    <xdr:to>
      <xdr:col>9</xdr:col>
      <xdr:colOff>464887</xdr:colOff>
      <xdr:row>212</xdr:row>
      <xdr:rowOff>19850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274DAD-1A7C-CD3F-21F4-7A8DE0DEE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5118" y="35074412"/>
          <a:ext cx="6897063" cy="5734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182</xdr:row>
      <xdr:rowOff>0</xdr:rowOff>
    </xdr:from>
    <xdr:to>
      <xdr:col>30</xdr:col>
      <xdr:colOff>148560</xdr:colOff>
      <xdr:row>214</xdr:row>
      <xdr:rowOff>134219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36BF87-8845-8491-3D6B-2DE9F2D8C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642412" y="35074412"/>
          <a:ext cx="12631913" cy="6230219"/>
        </a:xfrm>
        <a:prstGeom prst="rect">
          <a:avLst/>
        </a:prstGeom>
      </xdr:spPr>
    </xdr:pic>
    <xdr:clientData/>
  </xdr:twoCellAnchor>
  <xdr:twoCellAnchor editAs="oneCell">
    <xdr:from>
      <xdr:col>13</xdr:col>
      <xdr:colOff>377990</xdr:colOff>
      <xdr:row>76</xdr:row>
      <xdr:rowOff>11206</xdr:rowOff>
    </xdr:from>
    <xdr:to>
      <xdr:col>19</xdr:col>
      <xdr:colOff>0</xdr:colOff>
      <xdr:row>97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265949-958E-DE6A-D1A3-55E3972E8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35755" y="14814177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377989</xdr:colOff>
      <xdr:row>76</xdr:row>
      <xdr:rowOff>0</xdr:rowOff>
    </xdr:from>
    <xdr:to>
      <xdr:col>25</xdr:col>
      <xdr:colOff>0</xdr:colOff>
      <xdr:row>97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CDB7E4-D605-E755-A9BE-62A21F8E7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656960" y="14802971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25</xdr:col>
      <xdr:colOff>187490</xdr:colOff>
      <xdr:row>76</xdr:row>
      <xdr:rowOff>0</xdr:rowOff>
    </xdr:from>
    <xdr:to>
      <xdr:col>31</xdr:col>
      <xdr:colOff>0</xdr:colOff>
      <xdr:row>97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E769FE1-CAB7-1B44-7893-85FCAA767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287666" y="14802971"/>
          <a:ext cx="3443216" cy="4000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27</xdr:col>
      <xdr:colOff>476250</xdr:colOff>
      <xdr:row>24</xdr:row>
      <xdr:rowOff>180975</xdr:rowOff>
    </xdr:to>
    <xdr:pic>
      <xdr:nvPicPr>
        <xdr:cNvPr id="4" name="Picture 3" descr="Stepper motor driver and arduino UNO - Programming - Arduino Forum">
          <a:extLst>
            <a:ext uri="{FF2B5EF4-FFF2-40B4-BE49-F238E27FC236}">
              <a16:creationId xmlns:a16="http://schemas.microsoft.com/office/drawing/2014/main" id="{5D5A8D49-D006-9A6D-5199-A56C437CF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63200" y="190500"/>
          <a:ext cx="657225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16</xdr:col>
      <xdr:colOff>285750</xdr:colOff>
      <xdr:row>14</xdr:row>
      <xdr:rowOff>28575</xdr:rowOff>
    </xdr:from>
    <xdr:ext cx="327654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2A0DAE0-E51A-9B02-F9AC-18C4809B4A7F}"/>
            </a:ext>
          </a:extLst>
        </xdr:cNvPr>
        <xdr:cNvSpPr txBox="1"/>
      </xdr:nvSpPr>
      <xdr:spPr>
        <a:xfrm>
          <a:off x="10039350" y="26955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60</a:t>
          </a:r>
        </a:p>
      </xdr:txBody>
    </xdr:sp>
    <xdr:clientData/>
  </xdr:oneCellAnchor>
  <xdr:oneCellAnchor>
    <xdr:from>
      <xdr:col>16</xdr:col>
      <xdr:colOff>323850</xdr:colOff>
      <xdr:row>13</xdr:row>
      <xdr:rowOff>47625</xdr:rowOff>
    </xdr:from>
    <xdr:ext cx="327654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78A1E34-1FDF-F40D-2FED-CD3AB987A28F}"/>
            </a:ext>
          </a:extLst>
        </xdr:cNvPr>
        <xdr:cNvSpPr txBox="1"/>
      </xdr:nvSpPr>
      <xdr:spPr>
        <a:xfrm>
          <a:off x="10077450" y="252412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46</a:t>
          </a:r>
        </a:p>
      </xdr:txBody>
    </xdr:sp>
    <xdr:clientData/>
  </xdr:oneCellAnchor>
  <xdr:oneCellAnchor>
    <xdr:from>
      <xdr:col>14</xdr:col>
      <xdr:colOff>323850</xdr:colOff>
      <xdr:row>9</xdr:row>
      <xdr:rowOff>76200</xdr:rowOff>
    </xdr:from>
    <xdr:ext cx="32765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5A55AA3-F74F-5950-C0E7-629C934C02AE}"/>
            </a:ext>
          </a:extLst>
        </xdr:cNvPr>
        <xdr:cNvSpPr txBox="1"/>
      </xdr:nvSpPr>
      <xdr:spPr>
        <a:xfrm>
          <a:off x="8858250" y="179070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15</a:t>
          </a:r>
        </a:p>
      </xdr:txBody>
    </xdr:sp>
    <xdr:clientData/>
  </xdr:oneCellAnchor>
  <xdr:oneCellAnchor>
    <xdr:from>
      <xdr:col>14</xdr:col>
      <xdr:colOff>104775</xdr:colOff>
      <xdr:row>8</xdr:row>
      <xdr:rowOff>133350</xdr:rowOff>
    </xdr:from>
    <xdr:ext cx="327654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26AEB0C-F43B-4D4F-4432-4CF4BFF83318}"/>
            </a:ext>
          </a:extLst>
        </xdr:cNvPr>
        <xdr:cNvSpPr txBox="1"/>
      </xdr:nvSpPr>
      <xdr:spPr>
        <a:xfrm>
          <a:off x="8639175" y="16573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22</a:t>
          </a:r>
        </a:p>
      </xdr:txBody>
    </xdr:sp>
    <xdr:clientData/>
  </xdr:oneCellAnchor>
  <xdr:oneCellAnchor>
    <xdr:from>
      <xdr:col>16</xdr:col>
      <xdr:colOff>361950</xdr:colOff>
      <xdr:row>12</xdr:row>
      <xdr:rowOff>57150</xdr:rowOff>
    </xdr:from>
    <xdr:ext cx="327654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9F71A6D-B96B-F9C9-C8BD-12F6C4B36221}"/>
            </a:ext>
          </a:extLst>
        </xdr:cNvPr>
        <xdr:cNvSpPr txBox="1"/>
      </xdr:nvSpPr>
      <xdr:spPr>
        <a:xfrm>
          <a:off x="10115550" y="23431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30</a:t>
          </a:r>
        </a:p>
      </xdr:txBody>
    </xdr:sp>
    <xdr:clientData/>
  </xdr:oneCellAnchor>
  <xdr:oneCellAnchor>
    <xdr:from>
      <xdr:col>14</xdr:col>
      <xdr:colOff>0</xdr:colOff>
      <xdr:row>7</xdr:row>
      <xdr:rowOff>57150</xdr:rowOff>
    </xdr:from>
    <xdr:ext cx="43678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27BDD55-0442-6F46-7FB5-D423929C1867}"/>
            </a:ext>
          </a:extLst>
        </xdr:cNvPr>
        <xdr:cNvSpPr txBox="1"/>
      </xdr:nvSpPr>
      <xdr:spPr>
        <a:xfrm>
          <a:off x="8534400" y="1390650"/>
          <a:ext cx="4367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32.5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40</xdr:row>
      <xdr:rowOff>19050</xdr:rowOff>
    </xdr:from>
    <xdr:to>
      <xdr:col>6</xdr:col>
      <xdr:colOff>67193</xdr:colOff>
      <xdr:row>56</xdr:row>
      <xdr:rowOff>181423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" y="7639050"/>
          <a:ext cx="3715268" cy="321037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12</xdr:col>
      <xdr:colOff>30473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23</xdr:col>
      <xdr:colOff>515366</xdr:colOff>
      <xdr:row>17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20</xdr:row>
      <xdr:rowOff>57150</xdr:rowOff>
    </xdr:from>
    <xdr:to>
      <xdr:col>28</xdr:col>
      <xdr:colOff>246500</xdr:colOff>
      <xdr:row>36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10</xdr:col>
      <xdr:colOff>217310</xdr:colOff>
      <xdr:row>118</xdr:row>
      <xdr:rowOff>47625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F083E6-1672-BA90-FAD9-3F66FEA5F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763000"/>
          <a:ext cx="6313310" cy="55721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10</xdr:col>
      <xdr:colOff>96114</xdr:colOff>
      <xdr:row>83</xdr:row>
      <xdr:rowOff>20090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7DD844B-01F4-CCE1-6CED-A2488C131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8534400"/>
          <a:ext cx="6192114" cy="74495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10</xdr:col>
      <xdr:colOff>196589</xdr:colOff>
      <xdr:row>156</xdr:row>
      <xdr:rowOff>114300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F447AE-13B8-A639-AFDF-38B77C11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4688800"/>
          <a:ext cx="6292589" cy="5448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ELIFOUNER-Pieces-2020-Aluminum-Profile/dp/B0B211BNMS" TargetMode="External"/><Relationship Id="rId3" Type="http://schemas.openxmlformats.org/officeDocument/2006/relationships/hyperlink" Target="https://www.omc-stepperonline.com/nema-17-stepper-motor-bipolar-l-48mm-w-gear-ratio-19-1-planetary-gearbox-17hs19-1684s-pg19" TargetMode="External"/><Relationship Id="rId7" Type="http://schemas.openxmlformats.org/officeDocument/2006/relationships/hyperlink" Target="https://www.amazon.com/Precision-Weighting-Weighing-Controller-Indicator/dp/B07B48PWHD" TargetMode="External"/><Relationship Id="rId2" Type="http://schemas.openxmlformats.org/officeDocument/2006/relationships/hyperlink" Target="https://www.amazon.com/dp/B00QEUFRXK?psc=1&amp;smid=AWQBCGWISS7BL" TargetMode="External"/><Relationship Id="rId1" Type="http://schemas.openxmlformats.org/officeDocument/2006/relationships/hyperlink" Target="https://www.amazon.com/ANWOK-SFU1204-Machining-BallScrew-Supportsfor/dp/B09BR414X7/?th=1" TargetMode="External"/><Relationship Id="rId6" Type="http://schemas.openxmlformats.org/officeDocument/2006/relationships/hyperlink" Target="https://www.amazon.com/gp/product/B079LVMC6X" TargetMode="External"/><Relationship Id="rId5" Type="http://schemas.openxmlformats.org/officeDocument/2006/relationships/hyperlink" Target="https://www.amazon.com/gp/product/B07FW35184" TargetMode="External"/><Relationship Id="rId4" Type="http://schemas.openxmlformats.org/officeDocument/2006/relationships/hyperlink" Target="https://www.amazon.com/dp/B0BZYX7Z4Z" TargetMode="External"/><Relationship Id="rId9" Type="http://schemas.openxmlformats.org/officeDocument/2006/relationships/hyperlink" Target="https://www.amazon.com/dp/B09YRG7T8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sendcutsend.com/materials/stainless-ste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33"/>
  <sheetViews>
    <sheetView zoomScale="124" zoomScaleNormal="124" workbookViewId="0">
      <selection activeCell="E30" sqref="E30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126</v>
      </c>
    </row>
    <row r="5" spans="3:18" x14ac:dyDescent="0.25">
      <c r="C5" t="s">
        <v>123</v>
      </c>
      <c r="D5">
        <v>37.42</v>
      </c>
      <c r="E5">
        <v>1</v>
      </c>
      <c r="F5">
        <f t="shared" ref="F5:F27" si="0">E5*D5</f>
        <v>37.42</v>
      </c>
      <c r="G5" t="s">
        <v>59</v>
      </c>
      <c r="I5" s="1" t="s">
        <v>122</v>
      </c>
    </row>
    <row r="6" spans="3:18" x14ac:dyDescent="0.25">
      <c r="C6" t="s">
        <v>26</v>
      </c>
      <c r="D6">
        <v>40.43</v>
      </c>
      <c r="E6">
        <v>2</v>
      </c>
      <c r="F6">
        <f t="shared" si="0"/>
        <v>80.86</v>
      </c>
      <c r="G6" t="s">
        <v>59</v>
      </c>
      <c r="I6" s="1" t="s">
        <v>15</v>
      </c>
      <c r="R6" s="1" t="s">
        <v>35</v>
      </c>
    </row>
    <row r="7" spans="3:18" x14ac:dyDescent="0.25">
      <c r="C7" t="s">
        <v>60</v>
      </c>
      <c r="D7">
        <v>9.89</v>
      </c>
      <c r="E7">
        <v>2</v>
      </c>
      <c r="F7">
        <f t="shared" si="0"/>
        <v>19.78</v>
      </c>
      <c r="G7" t="s">
        <v>59</v>
      </c>
      <c r="I7" s="1" t="s">
        <v>61</v>
      </c>
      <c r="R7" s="1"/>
    </row>
    <row r="8" spans="3:18" x14ac:dyDescent="0.25">
      <c r="C8" t="s">
        <v>25</v>
      </c>
      <c r="D8">
        <v>35.020000000000003</v>
      </c>
      <c r="E8">
        <v>1</v>
      </c>
      <c r="F8">
        <f t="shared" si="0"/>
        <v>35.020000000000003</v>
      </c>
      <c r="G8" t="s">
        <v>59</v>
      </c>
      <c r="I8" s="1" t="s">
        <v>24</v>
      </c>
    </row>
    <row r="9" spans="3:18" x14ac:dyDescent="0.25">
      <c r="C9" t="s">
        <v>130</v>
      </c>
      <c r="D9">
        <v>22.57</v>
      </c>
      <c r="E9">
        <v>1</v>
      </c>
      <c r="F9">
        <f t="shared" si="0"/>
        <v>22.57</v>
      </c>
      <c r="G9" t="s">
        <v>59</v>
      </c>
      <c r="I9" s="1" t="s">
        <v>129</v>
      </c>
    </row>
    <row r="10" spans="3:18" x14ac:dyDescent="0.25">
      <c r="C10" t="s">
        <v>124</v>
      </c>
      <c r="D10">
        <v>5.49</v>
      </c>
      <c r="E10">
        <v>1</v>
      </c>
      <c r="F10">
        <f t="shared" si="0"/>
        <v>5.49</v>
      </c>
      <c r="G10" t="s">
        <v>59</v>
      </c>
      <c r="I10" s="1" t="s">
        <v>125</v>
      </c>
    </row>
    <row r="11" spans="3:18" x14ac:dyDescent="0.25">
      <c r="C11" t="s">
        <v>127</v>
      </c>
      <c r="D11">
        <v>11.5</v>
      </c>
      <c r="E11">
        <v>1</v>
      </c>
      <c r="F11">
        <f t="shared" si="0"/>
        <v>11.5</v>
      </c>
      <c r="G11" t="s">
        <v>59</v>
      </c>
      <c r="I11" s="1" t="s">
        <v>128</v>
      </c>
    </row>
    <row r="12" spans="3:18" x14ac:dyDescent="0.25">
      <c r="C12" t="s">
        <v>132</v>
      </c>
      <c r="D12">
        <v>6.99</v>
      </c>
      <c r="E12">
        <v>1</v>
      </c>
      <c r="F12">
        <f t="shared" si="0"/>
        <v>6.99</v>
      </c>
      <c r="G12" t="s">
        <v>59</v>
      </c>
      <c r="I12" s="1" t="s">
        <v>131</v>
      </c>
    </row>
    <row r="13" spans="3:18" x14ac:dyDescent="0.25">
      <c r="C13" t="s">
        <v>133</v>
      </c>
      <c r="D13">
        <v>73.56</v>
      </c>
      <c r="E13">
        <v>1</v>
      </c>
      <c r="F13">
        <f t="shared" si="0"/>
        <v>73.56</v>
      </c>
      <c r="G13" t="s">
        <v>59</v>
      </c>
      <c r="I13" s="1" t="s">
        <v>134</v>
      </c>
    </row>
    <row r="14" spans="3:18" x14ac:dyDescent="0.25">
      <c r="C14" t="s">
        <v>135</v>
      </c>
      <c r="D14">
        <v>7.29</v>
      </c>
      <c r="E14">
        <v>1</v>
      </c>
      <c r="F14">
        <f t="shared" si="0"/>
        <v>7.29</v>
      </c>
      <c r="G14" t="s">
        <v>59</v>
      </c>
      <c r="I14" s="1" t="s">
        <v>136</v>
      </c>
    </row>
    <row r="15" spans="3:18" x14ac:dyDescent="0.25">
      <c r="C15" t="s">
        <v>137</v>
      </c>
      <c r="D15">
        <v>7.99</v>
      </c>
      <c r="E15">
        <v>1</v>
      </c>
      <c r="F15">
        <f t="shared" si="0"/>
        <v>7.99</v>
      </c>
      <c r="G15" t="s">
        <v>59</v>
      </c>
      <c r="I15" s="1" t="s">
        <v>138</v>
      </c>
    </row>
    <row r="16" spans="3:18" x14ac:dyDescent="0.25">
      <c r="C16" t="s">
        <v>146</v>
      </c>
      <c r="D16">
        <v>8.39</v>
      </c>
      <c r="E16">
        <v>1</v>
      </c>
      <c r="F16">
        <f t="shared" si="0"/>
        <v>8.39</v>
      </c>
      <c r="G16" t="s">
        <v>59</v>
      </c>
      <c r="I16" s="1" t="s">
        <v>145</v>
      </c>
    </row>
    <row r="17" spans="3:9" x14ac:dyDescent="0.25">
      <c r="C17" t="s">
        <v>147</v>
      </c>
      <c r="D17">
        <v>84.83</v>
      </c>
      <c r="E17">
        <v>1</v>
      </c>
      <c r="F17">
        <f t="shared" si="0"/>
        <v>84.83</v>
      </c>
      <c r="G17" t="s">
        <v>59</v>
      </c>
      <c r="I17" s="1" t="s">
        <v>148</v>
      </c>
    </row>
    <row r="18" spans="3:9" x14ac:dyDescent="0.25">
      <c r="C18" t="s">
        <v>149</v>
      </c>
      <c r="D18">
        <v>9.99</v>
      </c>
      <c r="E18">
        <v>1</v>
      </c>
      <c r="F18">
        <f t="shared" si="0"/>
        <v>9.99</v>
      </c>
      <c r="G18" t="s">
        <v>59</v>
      </c>
      <c r="I18" s="1" t="s">
        <v>150</v>
      </c>
    </row>
    <row r="19" spans="3:9" x14ac:dyDescent="0.25">
      <c r="C19" t="s">
        <v>152</v>
      </c>
      <c r="D19">
        <v>4.92</v>
      </c>
      <c r="E19">
        <v>1</v>
      </c>
      <c r="F19">
        <f t="shared" si="0"/>
        <v>4.92</v>
      </c>
      <c r="G19" t="s">
        <v>59</v>
      </c>
      <c r="I19" s="1" t="s">
        <v>151</v>
      </c>
    </row>
    <row r="20" spans="3:9" x14ac:dyDescent="0.25">
      <c r="C20" t="s">
        <v>153</v>
      </c>
      <c r="D20">
        <v>7.99</v>
      </c>
      <c r="E20">
        <v>1</v>
      </c>
      <c r="F20">
        <f t="shared" si="0"/>
        <v>7.99</v>
      </c>
      <c r="G20" t="s">
        <v>59</v>
      </c>
      <c r="I20" s="1" t="s">
        <v>154</v>
      </c>
    </row>
    <row r="21" spans="3:9" x14ac:dyDescent="0.25">
      <c r="C21" t="s">
        <v>156</v>
      </c>
      <c r="D21">
        <v>5.99</v>
      </c>
      <c r="E21">
        <v>1</v>
      </c>
      <c r="F21">
        <f t="shared" si="0"/>
        <v>5.99</v>
      </c>
      <c r="G21" t="s">
        <v>59</v>
      </c>
      <c r="I21" s="1" t="s">
        <v>155</v>
      </c>
    </row>
    <row r="22" spans="3:9" x14ac:dyDescent="0.25">
      <c r="C22" t="s">
        <v>157</v>
      </c>
      <c r="D22">
        <v>13.14</v>
      </c>
      <c r="E22">
        <v>1</v>
      </c>
      <c r="F22">
        <f t="shared" si="0"/>
        <v>13.14</v>
      </c>
      <c r="G22" t="s">
        <v>59</v>
      </c>
      <c r="I22" s="1" t="s">
        <v>158</v>
      </c>
    </row>
    <row r="23" spans="3:9" x14ac:dyDescent="0.25">
      <c r="C23" t="s">
        <v>162</v>
      </c>
      <c r="D23">
        <v>12.99</v>
      </c>
      <c r="E23">
        <v>1</v>
      </c>
      <c r="F23">
        <f t="shared" si="0"/>
        <v>12.99</v>
      </c>
      <c r="G23" t="s">
        <v>59</v>
      </c>
      <c r="I23" s="1" t="s">
        <v>163</v>
      </c>
    </row>
    <row r="24" spans="3:9" x14ac:dyDescent="0.25">
      <c r="C24" t="s">
        <v>164</v>
      </c>
      <c r="D24">
        <v>8.99</v>
      </c>
      <c r="E24">
        <v>1</v>
      </c>
      <c r="F24">
        <f t="shared" si="0"/>
        <v>8.99</v>
      </c>
      <c r="G24" t="s">
        <v>59</v>
      </c>
      <c r="I24" s="1" t="s">
        <v>165</v>
      </c>
    </row>
    <row r="25" spans="3:9" x14ac:dyDescent="0.25">
      <c r="C25" t="s">
        <v>166</v>
      </c>
      <c r="D25">
        <v>18.989999999999998</v>
      </c>
      <c r="E25">
        <v>1</v>
      </c>
      <c r="F25">
        <f t="shared" si="0"/>
        <v>18.989999999999998</v>
      </c>
      <c r="G25" t="s">
        <v>59</v>
      </c>
      <c r="I25" s="1" t="s">
        <v>167</v>
      </c>
    </row>
    <row r="26" spans="3:9" x14ac:dyDescent="0.25">
      <c r="C26" t="s">
        <v>169</v>
      </c>
      <c r="D26">
        <v>6.98</v>
      </c>
      <c r="E26">
        <v>1</v>
      </c>
      <c r="F26">
        <f t="shared" si="0"/>
        <v>6.98</v>
      </c>
      <c r="G26" t="s">
        <v>59</v>
      </c>
      <c r="I26" s="1" t="s">
        <v>168</v>
      </c>
    </row>
    <row r="27" spans="3:9" x14ac:dyDescent="0.25">
      <c r="C27" t="s">
        <v>173</v>
      </c>
      <c r="D27">
        <v>7.99</v>
      </c>
      <c r="E27">
        <v>1</v>
      </c>
      <c r="F27">
        <f t="shared" si="0"/>
        <v>7.99</v>
      </c>
      <c r="G27" t="s">
        <v>59</v>
      </c>
      <c r="I27" s="1" t="s">
        <v>172</v>
      </c>
    </row>
    <row r="28" spans="3:9" x14ac:dyDescent="0.25">
      <c r="I28" s="1"/>
    </row>
    <row r="29" spans="3:9" x14ac:dyDescent="0.25">
      <c r="I29" s="1"/>
    </row>
    <row r="30" spans="3:9" x14ac:dyDescent="0.25">
      <c r="I30" s="1"/>
    </row>
    <row r="31" spans="3:9" x14ac:dyDescent="0.25">
      <c r="I31" s="1"/>
    </row>
    <row r="32" spans="3:9" x14ac:dyDescent="0.25">
      <c r="I32" s="1"/>
    </row>
    <row r="33" spans="5:6" x14ac:dyDescent="0.25">
      <c r="E33" t="s">
        <v>12</v>
      </c>
      <c r="F33">
        <f>SUM(F5:F27)</f>
        <v>499.66000000000014</v>
      </c>
    </row>
  </sheetData>
  <hyperlinks>
    <hyperlink ref="I8" r:id="rId1" xr:uid="{CB4419F2-72C9-4C94-91D9-87A0AA87BCB5}"/>
    <hyperlink ref="I6" r:id="rId2" xr:uid="{FDA0679E-F657-4EBB-8E29-6BE76788E24E}"/>
    <hyperlink ref="R6" r:id="rId3" xr:uid="{DE3FC601-CC53-4A11-B831-B13F95877B4B}"/>
    <hyperlink ref="I7" r:id="rId4" xr:uid="{1F75F018-B335-4D5B-A956-84207CFE837B}"/>
    <hyperlink ref="I10" r:id="rId5" xr:uid="{988AC50C-1FE5-4D7F-BF6B-A401D8AF39E6}"/>
    <hyperlink ref="I11" r:id="rId6" xr:uid="{B64FF050-FDD6-42D1-B4E2-ABF61E0B0344}"/>
    <hyperlink ref="I5" r:id="rId7" xr:uid="{2D82F46C-8B91-4972-9329-707B565885F8}"/>
    <hyperlink ref="I12" r:id="rId8" xr:uid="{FA1382E9-A642-42F7-B7CE-6F337549F5F5}"/>
    <hyperlink ref="I18" r:id="rId9" xr:uid="{68ACC84A-7047-4762-9CC3-8C618ED3B9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FDF8-7ED2-40F5-BFA8-7C12E1A885BF}">
  <dimension ref="B1:O67"/>
  <sheetViews>
    <sheetView showGridLines="0" tabSelected="1" topLeftCell="B1" zoomScaleNormal="100" workbookViewId="0">
      <selection activeCell="E33" sqref="E33"/>
    </sheetView>
  </sheetViews>
  <sheetFormatPr defaultRowHeight="15" x14ac:dyDescent="0.25"/>
  <sheetData>
    <row r="1" spans="2:13" s="47" customFormat="1" ht="20.25" thickBot="1" x14ac:dyDescent="0.35">
      <c r="B1" s="47" t="s">
        <v>159</v>
      </c>
      <c r="M1" s="47" t="s">
        <v>160</v>
      </c>
    </row>
    <row r="2" spans="2:13" ht="15.75" thickTop="1" x14ac:dyDescent="0.25"/>
    <row r="26" spans="3:15" x14ac:dyDescent="0.25">
      <c r="C26">
        <f>0.125*25.4</f>
        <v>3.1749999999999998</v>
      </c>
    </row>
    <row r="27" spans="3:15" x14ac:dyDescent="0.25">
      <c r="C27">
        <f>C26/2</f>
        <v>1.5874999999999999</v>
      </c>
    </row>
    <row r="30" spans="3:15" x14ac:dyDescent="0.25">
      <c r="I30">
        <f>1/25.4</f>
        <v>3.937007874015748E-2</v>
      </c>
    </row>
    <row r="31" spans="3:15" x14ac:dyDescent="0.25">
      <c r="O31">
        <f>2.75</f>
        <v>2.75</v>
      </c>
    </row>
    <row r="32" spans="3:15" x14ac:dyDescent="0.25">
      <c r="E32">
        <f>5.5/25.4</f>
        <v>0.21653543307086615</v>
      </c>
      <c r="O32">
        <f>O31/2</f>
        <v>1.375</v>
      </c>
    </row>
    <row r="35" spans="2:14" s="47" customFormat="1" ht="20.25" thickBot="1" x14ac:dyDescent="0.35">
      <c r="B35" s="47" t="s">
        <v>161</v>
      </c>
      <c r="N35" s="47" t="s">
        <v>170</v>
      </c>
    </row>
    <row r="36" spans="2:14" ht="15.75" thickTop="1" x14ac:dyDescent="0.25"/>
    <row r="66" spans="2:2" s="47" customFormat="1" ht="20.25" thickBot="1" x14ac:dyDescent="0.35">
      <c r="B66" s="47" t="s">
        <v>171</v>
      </c>
    </row>
    <row r="67" spans="2:2" ht="15.75" thickTop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R162"/>
  <sheetViews>
    <sheetView showGridLines="0" zoomScale="80" zoomScaleNormal="80" workbookViewId="0"/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82</v>
      </c>
      <c r="C2" s="46" t="s">
        <v>104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35</v>
      </c>
    </row>
    <row r="4" spans="2:9" x14ac:dyDescent="0.25">
      <c r="B4" s="7" t="s">
        <v>23</v>
      </c>
      <c r="C4" s="8"/>
      <c r="D4"/>
    </row>
    <row r="5" spans="2:9" x14ac:dyDescent="0.25">
      <c r="B5" s="8" t="s">
        <v>16</v>
      </c>
      <c r="C5" s="9">
        <v>4.0000000000000001E-3</v>
      </c>
      <c r="D5" s="10" t="s">
        <v>1</v>
      </c>
    </row>
    <row r="6" spans="2:9" x14ac:dyDescent="0.25">
      <c r="B6" s="8" t="s">
        <v>36</v>
      </c>
      <c r="C6" s="11">
        <f>0.8</f>
        <v>0.8</v>
      </c>
      <c r="D6" s="12" t="s">
        <v>6</v>
      </c>
    </row>
    <row r="7" spans="2:9" x14ac:dyDescent="0.25">
      <c r="B7" s="8" t="s">
        <v>37</v>
      </c>
      <c r="C7" s="11">
        <v>0.9</v>
      </c>
      <c r="D7" s="12" t="s">
        <v>6</v>
      </c>
    </row>
    <row r="8" spans="2:9" x14ac:dyDescent="0.25">
      <c r="B8" s="8" t="s">
        <v>27</v>
      </c>
      <c r="C8" s="11">
        <v>200</v>
      </c>
      <c r="D8" s="12" t="s">
        <v>53</v>
      </c>
    </row>
    <row r="9" spans="2:9" x14ac:dyDescent="0.25">
      <c r="B9" s="8" t="s">
        <v>14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84</v>
      </c>
      <c r="C11" s="35">
        <v>2</v>
      </c>
      <c r="D11" s="12" t="s">
        <v>6</v>
      </c>
    </row>
    <row r="12" spans="2:9" x14ac:dyDescent="0.25">
      <c r="B12" s="8" t="s">
        <v>85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39</v>
      </c>
      <c r="C15" s="7" t="s">
        <v>40</v>
      </c>
      <c r="D15" s="7" t="s">
        <v>41</v>
      </c>
      <c r="E15"/>
    </row>
    <row r="16" spans="2:9" x14ac:dyDescent="0.25">
      <c r="B16" s="8" t="s">
        <v>42</v>
      </c>
      <c r="C16" s="48">
        <v>0.52</v>
      </c>
      <c r="D16" s="48"/>
      <c r="E16" s="10" t="s">
        <v>0</v>
      </c>
    </row>
    <row r="17" spans="2:7" x14ac:dyDescent="0.25">
      <c r="B17" s="8" t="s">
        <v>38</v>
      </c>
      <c r="C17" s="49">
        <f>C16*C10*C6*C12</f>
        <v>5.5919135999999998</v>
      </c>
      <c r="D17" s="49"/>
      <c r="E17" s="10" t="s">
        <v>0</v>
      </c>
    </row>
    <row r="18" spans="2:7" x14ac:dyDescent="0.25">
      <c r="B18" s="50" t="s">
        <v>81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50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50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58</v>
      </c>
      <c r="C22" s="8"/>
      <c r="D22"/>
    </row>
    <row r="23" spans="2:7" x14ac:dyDescent="0.25">
      <c r="B23" s="8" t="s">
        <v>43</v>
      </c>
      <c r="C23" s="36">
        <f>C5/C8/C10/C11*1000</f>
        <v>5.2075196583867115E-4</v>
      </c>
      <c r="D23" s="10" t="s">
        <v>28</v>
      </c>
    </row>
    <row r="24" spans="2:7" x14ac:dyDescent="0.25">
      <c r="B24" s="8" t="s">
        <v>44</v>
      </c>
      <c r="C24" s="9">
        <v>50</v>
      </c>
      <c r="D24" s="10" t="s">
        <v>28</v>
      </c>
    </row>
    <row r="25" spans="2:7" x14ac:dyDescent="0.25">
      <c r="B25" s="8" t="s">
        <v>45</v>
      </c>
      <c r="C25" s="16">
        <f>C23/C24*1000000</f>
        <v>10.415039316773424</v>
      </c>
      <c r="D25" s="12" t="s">
        <v>52</v>
      </c>
    </row>
    <row r="26" spans="2:7" x14ac:dyDescent="0.25">
      <c r="C26" s="17"/>
      <c r="D26" s="18"/>
    </row>
    <row r="27" spans="2:7" x14ac:dyDescent="0.25">
      <c r="B27" s="7" t="s">
        <v>57</v>
      </c>
      <c r="C27" s="8"/>
      <c r="D27"/>
    </row>
    <row r="28" spans="2:7" x14ac:dyDescent="0.25">
      <c r="B28" s="8" t="s">
        <v>29</v>
      </c>
      <c r="C28" s="19">
        <v>2100000000</v>
      </c>
      <c r="D28" s="10" t="s">
        <v>18</v>
      </c>
    </row>
    <row r="29" spans="2:7" x14ac:dyDescent="0.25">
      <c r="B29" s="8" t="s">
        <v>31</v>
      </c>
      <c r="C29" s="19">
        <v>50000000</v>
      </c>
      <c r="D29" s="10" t="s">
        <v>18</v>
      </c>
    </row>
    <row r="30" spans="2:7" x14ac:dyDescent="0.25">
      <c r="B30" s="8" t="s">
        <v>30</v>
      </c>
      <c r="C30" s="19">
        <v>60000000</v>
      </c>
      <c r="D30" s="10" t="s">
        <v>18</v>
      </c>
    </row>
    <row r="31" spans="2:7" x14ac:dyDescent="0.25">
      <c r="B31" s="8" t="s">
        <v>32</v>
      </c>
      <c r="C31" s="16">
        <f>D18/C29*1000*1000</f>
        <v>316.21526433483928</v>
      </c>
      <c r="D31" s="10" t="s">
        <v>34</v>
      </c>
      <c r="F31" s="20"/>
    </row>
    <row r="32" spans="2:7" x14ac:dyDescent="0.25">
      <c r="B32" s="8" t="s">
        <v>33</v>
      </c>
      <c r="C32" s="16">
        <f>D18/C30*1000*1000</f>
        <v>263.51272027903269</v>
      </c>
      <c r="D32" s="10" t="s">
        <v>34</v>
      </c>
    </row>
    <row r="33" spans="2:8" x14ac:dyDescent="0.25">
      <c r="B33" s="8" t="s">
        <v>46</v>
      </c>
      <c r="C33" s="21">
        <f>C29/C28*1000000</f>
        <v>23809.523809523809</v>
      </c>
      <c r="D33" s="12" t="s">
        <v>51</v>
      </c>
    </row>
    <row r="34" spans="2:8" x14ac:dyDescent="0.25">
      <c r="B34" s="8" t="s">
        <v>47</v>
      </c>
      <c r="C34" s="21">
        <f>C33/C25</f>
        <v>2286.071428571428</v>
      </c>
      <c r="D34" s="10" t="s">
        <v>50</v>
      </c>
    </row>
    <row r="35" spans="2:8" x14ac:dyDescent="0.25">
      <c r="B35" s="8" t="s">
        <v>48</v>
      </c>
      <c r="C35" s="9">
        <v>50</v>
      </c>
      <c r="D35" s="10" t="s">
        <v>49</v>
      </c>
    </row>
    <row r="36" spans="2:8" x14ac:dyDescent="0.25">
      <c r="B36" s="8" t="s">
        <v>62</v>
      </c>
      <c r="C36" s="21">
        <f>C34/C35</f>
        <v>45.721428571428561</v>
      </c>
      <c r="D36" s="10" t="s">
        <v>54</v>
      </c>
    </row>
    <row r="39" spans="2:8" s="26" customFormat="1" ht="20.25" thickBot="1" x14ac:dyDescent="0.3">
      <c r="B39" s="26" t="s">
        <v>91</v>
      </c>
    </row>
    <row r="40" spans="2:8" ht="15.75" thickTop="1" x14ac:dyDescent="0.25"/>
    <row r="41" spans="2:8" x14ac:dyDescent="0.25">
      <c r="B41" s="8" t="s">
        <v>87</v>
      </c>
      <c r="C41" s="9">
        <v>1.6</v>
      </c>
      <c r="D41" s="12" t="s">
        <v>6</v>
      </c>
      <c r="F41" s="7" t="s">
        <v>105</v>
      </c>
      <c r="G41" s="8"/>
      <c r="H41" s="25">
        <f>D18/E2-1</f>
        <v>0.58107632167419654</v>
      </c>
    </row>
    <row r="42" spans="2:8" x14ac:dyDescent="0.25">
      <c r="B42" s="8" t="s">
        <v>88</v>
      </c>
      <c r="C42" s="9">
        <v>2</v>
      </c>
      <c r="D42" s="12" t="s">
        <v>6</v>
      </c>
    </row>
    <row r="43" spans="2:8" x14ac:dyDescent="0.25">
      <c r="B43" s="8" t="s">
        <v>89</v>
      </c>
      <c r="C43" s="9">
        <v>2</v>
      </c>
      <c r="D43" s="12" t="s">
        <v>6</v>
      </c>
    </row>
    <row r="45" spans="2:8" x14ac:dyDescent="0.25">
      <c r="B45" s="8"/>
      <c r="C45" s="51" t="s">
        <v>95</v>
      </c>
      <c r="D45" s="51"/>
      <c r="E45" s="51"/>
    </row>
    <row r="46" spans="2:8" x14ac:dyDescent="0.25">
      <c r="B46" s="8"/>
      <c r="C46" s="7" t="s">
        <v>93</v>
      </c>
      <c r="D46" s="7" t="s">
        <v>94</v>
      </c>
      <c r="E46" s="7" t="s">
        <v>72</v>
      </c>
    </row>
    <row r="47" spans="2:8" x14ac:dyDescent="0.25">
      <c r="B47" s="7" t="s">
        <v>92</v>
      </c>
      <c r="E47" s="25">
        <f>C73</f>
        <v>5.544135762574065E-4</v>
      </c>
    </row>
    <row r="48" spans="2:8" x14ac:dyDescent="0.25">
      <c r="B48" s="7" t="s">
        <v>86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90</v>
      </c>
    </row>
    <row r="50" spans="2:5" x14ac:dyDescent="0.25">
      <c r="B50" s="7" t="s">
        <v>96</v>
      </c>
    </row>
    <row r="51" spans="2:5" x14ac:dyDescent="0.25">
      <c r="B51" s="7" t="s">
        <v>97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67</v>
      </c>
    </row>
    <row r="58" spans="2:5" ht="15.75" thickTop="1" x14ac:dyDescent="0.25"/>
    <row r="59" spans="2:5" s="27" customFormat="1" ht="18" thickBot="1" x14ac:dyDescent="0.3">
      <c r="B59" s="27" t="s">
        <v>77</v>
      </c>
    </row>
    <row r="60" spans="2:5" ht="15.75" thickTop="1" x14ac:dyDescent="0.25"/>
    <row r="61" spans="2:5" x14ac:dyDescent="0.25">
      <c r="B61" s="7" t="s">
        <v>73</v>
      </c>
      <c r="C61" s="8"/>
    </row>
    <row r="62" spans="2:5" x14ac:dyDescent="0.25">
      <c r="B62" s="8" t="s">
        <v>17</v>
      </c>
      <c r="C62" s="28">
        <v>200000000000</v>
      </c>
      <c r="D62" s="10" t="s">
        <v>18</v>
      </c>
    </row>
    <row r="63" spans="2:5" x14ac:dyDescent="0.25">
      <c r="B63" s="8" t="s">
        <v>19</v>
      </c>
      <c r="C63" s="9">
        <v>0.35</v>
      </c>
      <c r="D63" s="10" t="s">
        <v>1</v>
      </c>
      <c r="E63" s="5" t="s">
        <v>79</v>
      </c>
    </row>
    <row r="64" spans="2:5" x14ac:dyDescent="0.25">
      <c r="B64" s="8" t="s">
        <v>20</v>
      </c>
      <c r="C64" s="9">
        <v>0.01</v>
      </c>
      <c r="D64" s="10" t="s">
        <v>1</v>
      </c>
      <c r="E64" s="5" t="s">
        <v>75</v>
      </c>
    </row>
    <row r="65" spans="2:8" x14ac:dyDescent="0.25">
      <c r="B65" s="8" t="s">
        <v>21</v>
      </c>
      <c r="C65" s="29">
        <f>PI()/4*(C64/2)^4</f>
        <v>4.9087385212340517E-10</v>
      </c>
      <c r="D65" s="10" t="s">
        <v>22</v>
      </c>
    </row>
    <row r="66" spans="2:8" x14ac:dyDescent="0.25">
      <c r="B66" s="8" t="s">
        <v>55</v>
      </c>
      <c r="C66" s="29">
        <f>PI()/4*C64^2</f>
        <v>7.8539816339744827E-5</v>
      </c>
      <c r="D66" s="10" t="s">
        <v>56</v>
      </c>
    </row>
    <row r="67" spans="2:8" x14ac:dyDescent="0.25">
      <c r="C67" s="22"/>
    </row>
    <row r="68" spans="2:8" x14ac:dyDescent="0.25">
      <c r="B68" s="8" t="s">
        <v>83</v>
      </c>
      <c r="C68" s="8"/>
    </row>
    <row r="69" spans="2:8" x14ac:dyDescent="0.25">
      <c r="B69" s="8" t="s">
        <v>74</v>
      </c>
      <c r="C69" s="11">
        <v>2</v>
      </c>
      <c r="D69" s="12" t="s">
        <v>6</v>
      </c>
    </row>
    <row r="70" spans="2:8" x14ac:dyDescent="0.25">
      <c r="B70" s="8" t="s">
        <v>76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80</v>
      </c>
      <c r="C71" s="21">
        <f>P103</f>
        <v>21083</v>
      </c>
      <c r="D71" s="10" t="s">
        <v>3</v>
      </c>
    </row>
    <row r="72" spans="2:8" x14ac:dyDescent="0.25">
      <c r="B72" s="8" t="s">
        <v>89</v>
      </c>
      <c r="C72" s="21">
        <f>C43</f>
        <v>2</v>
      </c>
      <c r="D72" s="10"/>
    </row>
    <row r="73" spans="2:8" x14ac:dyDescent="0.25">
      <c r="B73" s="8" t="s">
        <v>113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78</v>
      </c>
    </row>
    <row r="76" spans="2:8" ht="15.75" thickTop="1" x14ac:dyDescent="0.25">
      <c r="D76" s="24"/>
    </row>
    <row r="77" spans="2:8" x14ac:dyDescent="0.25">
      <c r="B77" s="5" t="s">
        <v>63</v>
      </c>
    </row>
    <row r="78" spans="2:8" x14ac:dyDescent="0.25">
      <c r="B78" s="5" t="s">
        <v>64</v>
      </c>
    </row>
    <row r="79" spans="2:8" x14ac:dyDescent="0.25">
      <c r="B79" s="5" t="s">
        <v>65</v>
      </c>
    </row>
    <row r="80" spans="2:8" x14ac:dyDescent="0.25">
      <c r="B80" s="5" t="s">
        <v>68</v>
      </c>
    </row>
    <row r="90" spans="2:2" x14ac:dyDescent="0.25">
      <c r="B90" s="5" t="s">
        <v>66</v>
      </c>
    </row>
    <row r="101" spans="2:16" x14ac:dyDescent="0.25">
      <c r="B101" s="5" t="s">
        <v>71</v>
      </c>
    </row>
    <row r="102" spans="2:16" x14ac:dyDescent="0.25">
      <c r="O102" s="30" t="s">
        <v>69</v>
      </c>
      <c r="P102" s="30" t="s">
        <v>70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90</v>
      </c>
    </row>
    <row r="123" spans="2:17" ht="15.75" thickTop="1" x14ac:dyDescent="0.25"/>
    <row r="124" spans="2:17" x14ac:dyDescent="0.25">
      <c r="B124" s="5" t="s">
        <v>116</v>
      </c>
    </row>
    <row r="125" spans="2:17" x14ac:dyDescent="0.25">
      <c r="K125" s="38" t="s">
        <v>117</v>
      </c>
      <c r="Q125" s="38"/>
    </row>
    <row r="126" spans="2:17" x14ac:dyDescent="0.25">
      <c r="K126" s="39" t="s">
        <v>118</v>
      </c>
      <c r="Q126" s="38"/>
    </row>
    <row r="127" spans="2:17" x14ac:dyDescent="0.25">
      <c r="K127" s="38" t="s">
        <v>119</v>
      </c>
      <c r="Q127" s="38"/>
    </row>
    <row r="128" spans="2:17" x14ac:dyDescent="0.25">
      <c r="K128" s="38" t="s">
        <v>120</v>
      </c>
      <c r="Q128" s="38"/>
    </row>
    <row r="129" spans="4:18" x14ac:dyDescent="0.25">
      <c r="K129" s="41" t="s">
        <v>121</v>
      </c>
      <c r="Q129" s="38"/>
    </row>
    <row r="130" spans="4:18" x14ac:dyDescent="0.25">
      <c r="Q130" s="38"/>
    </row>
    <row r="132" spans="4:18" x14ac:dyDescent="0.25">
      <c r="K132" s="40" t="s">
        <v>31</v>
      </c>
      <c r="L132" s="5">
        <v>241316505.15000001</v>
      </c>
      <c r="M132" s="5" t="s">
        <v>18</v>
      </c>
    </row>
    <row r="133" spans="4:18" x14ac:dyDescent="0.25">
      <c r="K133" s="5" t="s">
        <v>30</v>
      </c>
      <c r="L133" s="5">
        <v>289579806.18000001</v>
      </c>
      <c r="M133" s="5" t="s">
        <v>18</v>
      </c>
    </row>
    <row r="134" spans="4:18" x14ac:dyDescent="0.25">
      <c r="K134" s="5" t="s">
        <v>98</v>
      </c>
      <c r="L134" s="5">
        <v>344737864.5</v>
      </c>
      <c r="M134" s="5" t="s">
        <v>18</v>
      </c>
    </row>
    <row r="135" spans="4:18" x14ac:dyDescent="0.25">
      <c r="K135" s="5" t="s">
        <v>99</v>
      </c>
      <c r="L135" s="5">
        <v>461948738.43000001</v>
      </c>
      <c r="M135" s="5" t="s">
        <v>18</v>
      </c>
    </row>
    <row r="136" spans="4:18" x14ac:dyDescent="0.25">
      <c r="K136" s="5" t="s">
        <v>100</v>
      </c>
      <c r="L136" s="5">
        <v>0.08</v>
      </c>
      <c r="M136" s="5" t="s">
        <v>106</v>
      </c>
    </row>
    <row r="137" spans="4:18" x14ac:dyDescent="0.25">
      <c r="D137" s="37"/>
    </row>
    <row r="138" spans="4:18" x14ac:dyDescent="0.25">
      <c r="K138" s="5" t="s">
        <v>108</v>
      </c>
      <c r="L138" s="5">
        <v>1.6</v>
      </c>
      <c r="M138" s="18" t="s">
        <v>6</v>
      </c>
    </row>
    <row r="139" spans="4:18" x14ac:dyDescent="0.25">
      <c r="K139" s="5" t="s">
        <v>109</v>
      </c>
      <c r="L139" s="5">
        <v>2</v>
      </c>
      <c r="M139" s="18" t="s">
        <v>6</v>
      </c>
    </row>
    <row r="140" spans="4:18" x14ac:dyDescent="0.25">
      <c r="K140" s="37" t="s">
        <v>107</v>
      </c>
      <c r="L140" s="37">
        <v>140000000</v>
      </c>
      <c r="M140" s="5" t="s">
        <v>18</v>
      </c>
    </row>
    <row r="141" spans="4:18" x14ac:dyDescent="0.25">
      <c r="K141" s="5" t="s">
        <v>110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111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63</v>
      </c>
    </row>
    <row r="157" spans="2:18" x14ac:dyDescent="0.25">
      <c r="B157" s="5" t="s">
        <v>114</v>
      </c>
    </row>
    <row r="158" spans="2:18" x14ac:dyDescent="0.25">
      <c r="B158" s="5" t="s">
        <v>115</v>
      </c>
    </row>
    <row r="159" spans="2:18" x14ac:dyDescent="0.25">
      <c r="B159" s="43" t="s">
        <v>112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U38" sqref="U3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="103" zoomScaleNormal="103" workbookViewId="0">
      <selection activeCell="Y10" sqref="Y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zoomScaleNormal="100" workbookViewId="0">
      <selection activeCell="L46" sqref="L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A1:S148"/>
  <sheetViews>
    <sheetView topLeftCell="A18" zoomScale="101" zoomScaleNormal="101" workbookViewId="0">
      <selection activeCell="N40" sqref="N40"/>
    </sheetView>
  </sheetViews>
  <sheetFormatPr defaultRowHeight="15" x14ac:dyDescent="0.25"/>
  <cols>
    <col min="16" max="16" width="10" bestFit="1" customWidth="1"/>
  </cols>
  <sheetData>
    <row r="1" spans="1:1" s="47" customFormat="1" ht="20.25" thickBot="1" x14ac:dyDescent="0.35">
      <c r="A1" s="47" t="s">
        <v>140</v>
      </c>
    </row>
    <row r="2" spans="1:1" ht="15.75" thickTop="1" x14ac:dyDescent="0.25"/>
    <row r="21" spans="14:19" x14ac:dyDescent="0.25">
      <c r="O21" t="s">
        <v>101</v>
      </c>
      <c r="P21" t="s">
        <v>18</v>
      </c>
    </row>
    <row r="22" spans="14:19" x14ac:dyDescent="0.25">
      <c r="N22" t="s">
        <v>31</v>
      </c>
      <c r="O22">
        <v>35</v>
      </c>
      <c r="P22" s="3">
        <f>O22*$P$32</f>
        <v>241316505.15000001</v>
      </c>
      <c r="S22" s="3"/>
    </row>
    <row r="23" spans="14:19" x14ac:dyDescent="0.25">
      <c r="N23" t="s">
        <v>30</v>
      </c>
      <c r="O23">
        <v>42</v>
      </c>
      <c r="P23" s="3">
        <f>O23*$P$32</f>
        <v>289579806.18000001</v>
      </c>
      <c r="S23" s="3"/>
    </row>
    <row r="24" spans="14:19" x14ac:dyDescent="0.25">
      <c r="N24" t="s">
        <v>98</v>
      </c>
      <c r="O24">
        <v>50</v>
      </c>
      <c r="P24" s="3">
        <f>O24*$P$32</f>
        <v>344737864.5</v>
      </c>
    </row>
    <row r="25" spans="14:19" x14ac:dyDescent="0.25">
      <c r="N25" t="s">
        <v>99</v>
      </c>
      <c r="O25">
        <v>67</v>
      </c>
      <c r="P25" s="3">
        <f>O25*$P$32</f>
        <v>461948738.43000001</v>
      </c>
    </row>
    <row r="26" spans="14:19" x14ac:dyDescent="0.25">
      <c r="N26" t="s">
        <v>100</v>
      </c>
      <c r="O26">
        <v>0.08</v>
      </c>
      <c r="S26" s="4"/>
    </row>
    <row r="27" spans="14:19" x14ac:dyDescent="0.25">
      <c r="N27" t="s">
        <v>17</v>
      </c>
      <c r="O27" s="2">
        <v>10000</v>
      </c>
      <c r="P27" s="3">
        <f>O27*$P$32</f>
        <v>68947572900</v>
      </c>
    </row>
    <row r="28" spans="14:19" x14ac:dyDescent="0.25">
      <c r="N28" t="s">
        <v>103</v>
      </c>
      <c r="O28">
        <v>0.33</v>
      </c>
      <c r="P28" s="3"/>
    </row>
    <row r="32" spans="14:19" x14ac:dyDescent="0.25">
      <c r="O32" t="s">
        <v>102</v>
      </c>
      <c r="P32">
        <v>6894757.29</v>
      </c>
    </row>
    <row r="34" spans="1:19" x14ac:dyDescent="0.25">
      <c r="P34" s="3">
        <f>P22/1.6</f>
        <v>150822815.71875</v>
      </c>
    </row>
    <row r="43" spans="1:19" s="47" customFormat="1" ht="20.25" thickBot="1" x14ac:dyDescent="0.35">
      <c r="A43" s="47" t="s">
        <v>142</v>
      </c>
    </row>
    <row r="44" spans="1:19" ht="15.75" thickTop="1" x14ac:dyDescent="0.25"/>
    <row r="46" spans="1:19" x14ac:dyDescent="0.25">
      <c r="N46" t="s">
        <v>101</v>
      </c>
      <c r="O46" t="s">
        <v>18</v>
      </c>
    </row>
    <row r="47" spans="1:19" x14ac:dyDescent="0.25">
      <c r="M47" t="s">
        <v>31</v>
      </c>
      <c r="N47">
        <v>69</v>
      </c>
      <c r="O47" s="3">
        <f>N47*$P$32</f>
        <v>475738253.00999999</v>
      </c>
      <c r="R47" t="s">
        <v>143</v>
      </c>
      <c r="S47">
        <f>19.05*SQRT($O$22/N47)</f>
        <v>13.567644536207069</v>
      </c>
    </row>
    <row r="48" spans="1:19" x14ac:dyDescent="0.25">
      <c r="M48" t="s">
        <v>30</v>
      </c>
      <c r="N48">
        <v>77</v>
      </c>
      <c r="O48" s="3">
        <f>N48*$P$32</f>
        <v>530896311.32999998</v>
      </c>
    </row>
    <row r="49" spans="13:15" x14ac:dyDescent="0.25">
      <c r="M49" t="s">
        <v>98</v>
      </c>
      <c r="N49">
        <v>118</v>
      </c>
      <c r="O49" s="3">
        <f>N49*$P$32</f>
        <v>813581360.22000003</v>
      </c>
    </row>
    <row r="50" spans="13:15" x14ac:dyDescent="0.25">
      <c r="M50" t="s">
        <v>99</v>
      </c>
      <c r="N50">
        <v>157</v>
      </c>
      <c r="O50" s="3">
        <f>N50*$P$32</f>
        <v>1082476894.53</v>
      </c>
    </row>
    <row r="51" spans="13:15" x14ac:dyDescent="0.25">
      <c r="M51" t="s">
        <v>100</v>
      </c>
      <c r="N51">
        <v>0.09</v>
      </c>
    </row>
    <row r="52" spans="13:15" x14ac:dyDescent="0.25">
      <c r="M52" t="s">
        <v>17</v>
      </c>
      <c r="N52" s="2">
        <v>10400</v>
      </c>
      <c r="O52" s="3">
        <f>N52*$P$32</f>
        <v>71705475816</v>
      </c>
    </row>
    <row r="53" spans="13:15" x14ac:dyDescent="0.25">
      <c r="M53" t="s">
        <v>103</v>
      </c>
      <c r="N53">
        <v>0.33</v>
      </c>
      <c r="O53" s="3"/>
    </row>
    <row r="59" spans="13:15" x14ac:dyDescent="0.25">
      <c r="O59" s="3"/>
    </row>
    <row r="86" spans="1:19" s="47" customFormat="1" ht="20.25" thickBot="1" x14ac:dyDescent="0.35">
      <c r="A86" s="47" t="s">
        <v>141</v>
      </c>
    </row>
    <row r="87" spans="1:19" ht="15.75" thickTop="1" x14ac:dyDescent="0.25"/>
    <row r="88" spans="1:19" x14ac:dyDescent="0.25">
      <c r="A88" s="1" t="s">
        <v>139</v>
      </c>
    </row>
    <row r="90" spans="1:19" x14ac:dyDescent="0.25">
      <c r="N90" t="s">
        <v>101</v>
      </c>
      <c r="O90" t="s">
        <v>18</v>
      </c>
    </row>
    <row r="91" spans="1:19" x14ac:dyDescent="0.25">
      <c r="M91" t="s">
        <v>31</v>
      </c>
      <c r="N91">
        <v>35</v>
      </c>
      <c r="O91" s="3">
        <f>N91*$P$32</f>
        <v>241316505.15000001</v>
      </c>
      <c r="R91" t="s">
        <v>143</v>
      </c>
      <c r="S91">
        <f>19.05*SQRT($O$22/N91)</f>
        <v>19.05</v>
      </c>
    </row>
    <row r="92" spans="1:19" x14ac:dyDescent="0.25">
      <c r="M92" t="s">
        <v>30</v>
      </c>
      <c r="N92">
        <v>85</v>
      </c>
      <c r="O92" s="3">
        <f>N92*$P$32</f>
        <v>586054369.64999998</v>
      </c>
    </row>
    <row r="93" spans="1:19" x14ac:dyDescent="0.25">
      <c r="M93" t="s">
        <v>98</v>
      </c>
      <c r="N93">
        <v>0</v>
      </c>
      <c r="O93" s="3">
        <f>N93*$P$32</f>
        <v>0</v>
      </c>
    </row>
    <row r="94" spans="1:19" x14ac:dyDescent="0.25">
      <c r="M94" t="s">
        <v>99</v>
      </c>
      <c r="N94">
        <v>0</v>
      </c>
      <c r="O94" s="3">
        <f>N94*$P$32</f>
        <v>0</v>
      </c>
    </row>
    <row r="95" spans="1:19" x14ac:dyDescent="0.25">
      <c r="M95" t="s">
        <v>100</v>
      </c>
      <c r="N95">
        <v>0.5</v>
      </c>
    </row>
    <row r="96" spans="1:19" x14ac:dyDescent="0.25">
      <c r="M96" t="s">
        <v>17</v>
      </c>
      <c r="N96" s="2">
        <v>29000</v>
      </c>
      <c r="O96" s="3">
        <f>N96*$P$32</f>
        <v>199947961410</v>
      </c>
    </row>
    <row r="97" spans="13:15" x14ac:dyDescent="0.25">
      <c r="M97" t="s">
        <v>103</v>
      </c>
      <c r="N97">
        <v>0.28999999999999998</v>
      </c>
      <c r="O97" s="3">
        <f>N97*$P$32</f>
        <v>1999479.6140999999</v>
      </c>
    </row>
    <row r="103" spans="13:15" x14ac:dyDescent="0.25">
      <c r="O103" s="3">
        <f>O91/1.6</f>
        <v>150822815.71875</v>
      </c>
    </row>
    <row r="127" spans="1:1" s="47" customFormat="1" ht="20.25" thickBot="1" x14ac:dyDescent="0.35">
      <c r="A127" s="47" t="s">
        <v>144</v>
      </c>
    </row>
    <row r="128" spans="1:1" ht="15.75" thickTop="1" x14ac:dyDescent="0.25"/>
    <row r="135" spans="13:19" x14ac:dyDescent="0.25">
      <c r="N135" t="s">
        <v>101</v>
      </c>
      <c r="O135" t="s">
        <v>18</v>
      </c>
    </row>
    <row r="136" spans="13:19" x14ac:dyDescent="0.25">
      <c r="M136" t="s">
        <v>31</v>
      </c>
      <c r="N136">
        <v>75</v>
      </c>
      <c r="O136" s="3">
        <f>N136*$P$32</f>
        <v>517106796.75</v>
      </c>
      <c r="R136" t="s">
        <v>143</v>
      </c>
      <c r="S136">
        <f>19.05*SQRT($O$22/N136)</f>
        <v>13.01362747276869</v>
      </c>
    </row>
    <row r="137" spans="13:19" x14ac:dyDescent="0.25">
      <c r="M137" t="s">
        <v>30</v>
      </c>
      <c r="N137">
        <v>100</v>
      </c>
      <c r="O137" s="3">
        <f>N137*$P$32</f>
        <v>689475729</v>
      </c>
    </row>
    <row r="138" spans="13:19" x14ac:dyDescent="0.25">
      <c r="M138" t="s">
        <v>98</v>
      </c>
      <c r="N138">
        <v>0</v>
      </c>
      <c r="O138" s="3">
        <f>N138*$P$32</f>
        <v>0</v>
      </c>
    </row>
    <row r="139" spans="13:19" x14ac:dyDescent="0.25">
      <c r="M139" t="s">
        <v>99</v>
      </c>
      <c r="N139">
        <v>0</v>
      </c>
      <c r="O139" s="3">
        <f>N139*$P$32</f>
        <v>0</v>
      </c>
    </row>
    <row r="140" spans="13:19" x14ac:dyDescent="0.25">
      <c r="M140" t="s">
        <v>100</v>
      </c>
      <c r="N140">
        <v>0.1</v>
      </c>
    </row>
    <row r="141" spans="13:19" x14ac:dyDescent="0.25">
      <c r="M141" t="s">
        <v>17</v>
      </c>
      <c r="N141" s="2">
        <v>29000</v>
      </c>
      <c r="O141" s="3">
        <f>N141*$P$32</f>
        <v>199947961410</v>
      </c>
    </row>
    <row r="142" spans="13:19" x14ac:dyDescent="0.25">
      <c r="M142" t="s">
        <v>103</v>
      </c>
      <c r="N142">
        <v>0.28999999999999998</v>
      </c>
      <c r="O142" s="3">
        <f>N142*$P$32</f>
        <v>1999479.6140999999</v>
      </c>
    </row>
    <row r="146" spans="14:15" x14ac:dyDescent="0.25">
      <c r="N146" t="s">
        <v>102</v>
      </c>
      <c r="O146">
        <v>6894757.29</v>
      </c>
    </row>
    <row r="148" spans="14:15" x14ac:dyDescent="0.25">
      <c r="O148" s="3">
        <f>O136/1.6</f>
        <v>323191747.96875</v>
      </c>
    </row>
  </sheetData>
  <hyperlinks>
    <hyperlink ref="A88" r:id="rId1" location="details" xr:uid="{5ADE9F8F-48BA-4576-BA05-CCEFE46BEFEC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BOM</vt:lpstr>
      <vt:lpstr>Boards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2026-01-28T07:58:28Z</dcterms:modified>
</cp:coreProperties>
</file>